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ms\Desktop\New folder\ALL_DATA\ALL DATA\My Research paper &amp; Book Chapter\BOOK CHAPTER\Vishnu Sir\MY PhD Paper\2024-2025\Gohar June\FINAL PAPER GOHAR\PeerJ\"/>
    </mc:Choice>
  </mc:AlternateContent>
  <xr:revisionPtr revIDLastSave="0" documentId="8_{1F6EDE2B-1473-4533-B409-1BFE6744088F}" xr6:coauthVersionLast="47" xr6:coauthVersionMax="47" xr10:uidLastSave="{00000000-0000-0000-0000-000000000000}"/>
  <bookViews>
    <workbookView xWindow="-28920" yWindow="-120" windowWidth="29040" windowHeight="15720" activeTab="8" xr2:uid="{00000000-000D-0000-FFFF-FFFF00000000}"/>
  </bookViews>
  <sheets>
    <sheet name="Plant height" sheetId="9" r:id="rId1"/>
    <sheet name="CCI" sheetId="8" r:id="rId2"/>
    <sheet name="Stem diameter" sheetId="10" r:id="rId3"/>
    <sheet name="Scan" sheetId="4" r:id="rId4"/>
    <sheet name="Plant weight" sheetId="5" r:id="rId5"/>
    <sheet name="Ions analysis" sheetId="7" r:id="rId6"/>
    <sheet name="Membrane demage (MDR)" sheetId="6" r:id="rId7"/>
    <sheet name="Photosynthesis" sheetId="11" r:id="rId8"/>
    <sheet name="Coorelation" sheetId="13" r:id="rId9"/>
  </sheets>
  <calcPr calcId="191029"/>
</workbook>
</file>

<file path=xl/calcChain.xml><?xml version="1.0" encoding="utf-8"?>
<calcChain xmlns="http://schemas.openxmlformats.org/spreadsheetml/2006/main">
  <c r="K3" i="7" l="1"/>
  <c r="L3" i="7"/>
  <c r="M3" i="7"/>
  <c r="N3" i="7"/>
  <c r="T3" i="6" l="1"/>
  <c r="AF18" i="5"/>
  <c r="AF17" i="5"/>
  <c r="AF16" i="5"/>
  <c r="AF15" i="5"/>
  <c r="AF14" i="5"/>
  <c r="AF13" i="5"/>
  <c r="AE16" i="5"/>
  <c r="AE18" i="5"/>
  <c r="AE17" i="5"/>
  <c r="AE15" i="5"/>
  <c r="AE14" i="5"/>
  <c r="AE13" i="5"/>
  <c r="T47" i="5"/>
  <c r="T46" i="5"/>
  <c r="T45" i="5"/>
  <c r="T44" i="5"/>
  <c r="T43" i="5"/>
  <c r="T42" i="5"/>
  <c r="U42" i="5" s="1"/>
  <c r="T41" i="5"/>
  <c r="U41" i="5" s="1"/>
  <c r="T40" i="5"/>
  <c r="U40" i="5" s="1"/>
  <c r="T39" i="5"/>
  <c r="U39" i="5" s="1"/>
  <c r="T38" i="5"/>
  <c r="U38" i="5" s="1"/>
  <c r="T37" i="5"/>
  <c r="U37" i="5" s="1"/>
  <c r="T36" i="5"/>
  <c r="U36" i="5" s="1"/>
  <c r="T35" i="5"/>
  <c r="U35" i="5" s="1"/>
  <c r="T34" i="5"/>
  <c r="U34" i="5" s="1"/>
  <c r="S47" i="5"/>
  <c r="S46" i="5"/>
  <c r="S45" i="5"/>
  <c r="S44" i="5"/>
  <c r="S43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17" i="5"/>
  <c r="BU27" i="5"/>
  <c r="BU28" i="5" s="1"/>
  <c r="BT27" i="5"/>
  <c r="BT28" i="5" s="1"/>
  <c r="BU18" i="5"/>
  <c r="BU19" i="5" s="1"/>
  <c r="BT18" i="5"/>
  <c r="BT19" i="5" s="1"/>
  <c r="BU9" i="5"/>
  <c r="BU10" i="5" s="1"/>
  <c r="BT9" i="5"/>
  <c r="BT10" i="5" s="1"/>
  <c r="O8" i="9"/>
  <c r="AR9" i="11"/>
  <c r="AP10" i="11"/>
  <c r="AJ10" i="7"/>
  <c r="AI10" i="7"/>
  <c r="AH10" i="7"/>
  <c r="AG10" i="7"/>
  <c r="AF10" i="7"/>
  <c r="AE10" i="7"/>
  <c r="S2" i="8"/>
  <c r="S3" i="8" s="1"/>
  <c r="BH2" i="9"/>
  <c r="BH4" i="9" s="1"/>
  <c r="AV2" i="9"/>
  <c r="AV4" i="9" s="1"/>
  <c r="AL2" i="9"/>
  <c r="AL4" i="9" s="1"/>
  <c r="AB2" i="9"/>
  <c r="AB4" i="9" s="1"/>
  <c r="V18" i="5" l="1"/>
  <c r="U44" i="5"/>
  <c r="V34" i="5"/>
  <c r="U46" i="5"/>
  <c r="V17" i="5"/>
  <c r="U45" i="5"/>
  <c r="V20" i="5"/>
  <c r="V36" i="5"/>
  <c r="V19" i="5"/>
  <c r="U43" i="5"/>
  <c r="V37" i="5" s="1"/>
  <c r="U47" i="5"/>
  <c r="V35" i="5"/>
  <c r="T2" i="6"/>
  <c r="BU10" i="7"/>
  <c r="BT10" i="7"/>
  <c r="BS10" i="7"/>
  <c r="AA10" i="7" l="1"/>
  <c r="Z10" i="7"/>
  <c r="Y10" i="7"/>
  <c r="AD10" i="7"/>
  <c r="AC10" i="7"/>
  <c r="AB10" i="7"/>
  <c r="R5" i="8"/>
  <c r="R7" i="8" s="1"/>
  <c r="AM10" i="11" l="1"/>
  <c r="AM11" i="11" s="1"/>
  <c r="AJ10" i="11"/>
  <c r="AJ11" i="11" s="1"/>
  <c r="K12" i="4"/>
  <c r="K13" i="4" s="1"/>
  <c r="J2" i="10" l="1"/>
  <c r="J4" i="10" s="1"/>
  <c r="N10" i="9"/>
  <c r="N12" i="9" s="1"/>
  <c r="BC12" i="9" l="1"/>
  <c r="BD6" i="9" s="1"/>
  <c r="BC11" i="9"/>
  <c r="BD5" i="9" s="1"/>
  <c r="BC10" i="9"/>
  <c r="BC9" i="9"/>
  <c r="BC8" i="9"/>
  <c r="BC7" i="9"/>
  <c r="BC6" i="9"/>
  <c r="BC5" i="9"/>
  <c r="BC4" i="9"/>
  <c r="BC3" i="9"/>
  <c r="BC2" i="9"/>
  <c r="AQ12" i="9"/>
  <c r="AQ11" i="9"/>
  <c r="AQ10" i="9"/>
  <c r="AQ9" i="9"/>
  <c r="AQ8" i="9"/>
  <c r="AR4" i="9" s="1"/>
  <c r="AQ7" i="9"/>
  <c r="AQ6" i="9"/>
  <c r="AQ5" i="9"/>
  <c r="AQ4" i="9"/>
  <c r="AQ3" i="9"/>
  <c r="AQ2" i="9"/>
  <c r="AF12" i="9"/>
  <c r="AH6" i="9" s="1"/>
  <c r="AF11" i="9"/>
  <c r="AH5" i="9" s="1"/>
  <c r="AF10" i="9"/>
  <c r="AF9" i="9"/>
  <c r="AF8" i="9"/>
  <c r="AF7" i="9"/>
  <c r="AF6" i="9"/>
  <c r="AF5" i="9"/>
  <c r="AF4" i="9"/>
  <c r="AF3" i="9"/>
  <c r="AF2" i="9"/>
  <c r="BD3" i="9" l="1"/>
  <c r="AH2" i="9"/>
  <c r="AR2" i="9"/>
  <c r="BD2" i="9"/>
  <c r="AH4" i="9"/>
  <c r="AR3" i="9"/>
  <c r="BD4" i="9"/>
  <c r="AH3" i="9"/>
  <c r="T12" i="9" l="1"/>
  <c r="X6" i="9" s="1"/>
  <c r="T11" i="9"/>
  <c r="X5" i="9" s="1"/>
  <c r="T10" i="9"/>
  <c r="T9" i="9"/>
  <c r="T8" i="9"/>
  <c r="T7" i="9"/>
  <c r="T6" i="9"/>
  <c r="T5" i="9"/>
  <c r="T4" i="9"/>
  <c r="T3" i="9"/>
  <c r="T2" i="9"/>
  <c r="X4" i="9" l="1"/>
  <c r="X2" i="9"/>
  <c r="X3" i="9"/>
  <c r="J7" i="13" l="1"/>
  <c r="J6" i="13"/>
  <c r="J5" i="13"/>
  <c r="J4" i="13"/>
  <c r="J3" i="13"/>
  <c r="J2" i="13"/>
  <c r="AD30" i="11" l="1"/>
  <c r="AD29" i="11"/>
  <c r="AD28" i="11"/>
  <c r="AD27" i="11"/>
  <c r="AD26" i="11"/>
  <c r="AD25" i="11"/>
  <c r="AC30" i="11"/>
  <c r="AC29" i="11"/>
  <c r="AC28" i="11"/>
  <c r="AC27" i="11"/>
  <c r="AC26" i="11"/>
  <c r="AC25" i="11"/>
  <c r="AB30" i="11"/>
  <c r="AB29" i="11"/>
  <c r="AB28" i="11"/>
  <c r="AB27" i="11"/>
  <c r="AB26" i="11"/>
  <c r="AB25" i="11"/>
  <c r="BD10" i="7"/>
  <c r="BD9" i="7"/>
  <c r="BD8" i="7"/>
  <c r="BD7" i="7"/>
  <c r="BD6" i="7"/>
  <c r="BD5" i="7"/>
  <c r="BC10" i="7"/>
  <c r="BC9" i="7"/>
  <c r="BC8" i="7"/>
  <c r="BC7" i="7"/>
  <c r="BC6" i="7"/>
  <c r="BC5" i="7"/>
  <c r="AY10" i="7"/>
  <c r="AY9" i="7"/>
  <c r="AY8" i="7"/>
  <c r="AY7" i="7"/>
  <c r="AY6" i="7"/>
  <c r="AY5" i="7"/>
  <c r="AX10" i="7"/>
  <c r="AX9" i="7"/>
  <c r="AX8" i="7"/>
  <c r="AX7" i="7"/>
  <c r="AX6" i="7"/>
  <c r="AX5" i="7"/>
  <c r="AT10" i="7"/>
  <c r="AT9" i="7"/>
  <c r="AT8" i="7"/>
  <c r="AT7" i="7"/>
  <c r="AT6" i="7"/>
  <c r="AT5" i="7"/>
  <c r="AS10" i="7"/>
  <c r="AS9" i="7"/>
  <c r="AS8" i="7"/>
  <c r="AS7" i="7"/>
  <c r="AS6" i="7"/>
  <c r="AS5" i="7"/>
  <c r="AC14" i="7"/>
  <c r="AB14" i="7"/>
  <c r="AA14" i="7"/>
  <c r="Z14" i="7"/>
  <c r="Y14" i="7"/>
  <c r="X14" i="7"/>
  <c r="CZ28" i="5"/>
  <c r="CZ27" i="5"/>
  <c r="CZ26" i="5"/>
  <c r="CZ25" i="5"/>
  <c r="CZ24" i="5"/>
  <c r="CZ23" i="5"/>
  <c r="CY28" i="5"/>
  <c r="CY27" i="5"/>
  <c r="CY26" i="5"/>
  <c r="CY25" i="5"/>
  <c r="CY24" i="5"/>
  <c r="CY23" i="5"/>
  <c r="CZ18" i="5"/>
  <c r="CZ17" i="5"/>
  <c r="CZ16" i="5"/>
  <c r="CZ15" i="5"/>
  <c r="CZ14" i="5"/>
  <c r="CZ13" i="5"/>
  <c r="CY18" i="5"/>
  <c r="CY17" i="5"/>
  <c r="CY16" i="5"/>
  <c r="CY15" i="5"/>
  <c r="CY14" i="5"/>
  <c r="CY13" i="5"/>
  <c r="CZ8" i="5"/>
  <c r="CZ7" i="5"/>
  <c r="CZ6" i="5"/>
  <c r="CZ5" i="5"/>
  <c r="CZ4" i="5"/>
  <c r="CZ3" i="5"/>
  <c r="CY8" i="5"/>
  <c r="CY7" i="5"/>
  <c r="CY6" i="5"/>
  <c r="CY5" i="5"/>
  <c r="CY4" i="5"/>
  <c r="CY3" i="5"/>
  <c r="BV26" i="5" l="1"/>
  <c r="BV25" i="5"/>
  <c r="BV24" i="5"/>
  <c r="BV23" i="5"/>
  <c r="BV22" i="5"/>
  <c r="BV21" i="5"/>
  <c r="BV17" i="5"/>
  <c r="BV16" i="5"/>
  <c r="BV15" i="5"/>
  <c r="BV14" i="5"/>
  <c r="BV13" i="5"/>
  <c r="BV12" i="5"/>
  <c r="BV8" i="5"/>
  <c r="BV7" i="5"/>
  <c r="BV6" i="5"/>
  <c r="BV5" i="5"/>
  <c r="BV4" i="5"/>
  <c r="BV3" i="5"/>
  <c r="BN7" i="5"/>
  <c r="BN6" i="5"/>
  <c r="BN5" i="5"/>
  <c r="BN4" i="5"/>
  <c r="BN3" i="5"/>
  <c r="BN2" i="5"/>
  <c r="BK7" i="5"/>
  <c r="BK6" i="5"/>
  <c r="BK5" i="5"/>
  <c r="BK4" i="5"/>
  <c r="BK3" i="5"/>
  <c r="BK2" i="5"/>
  <c r="BV18" i="5" l="1"/>
  <c r="BV19" i="5" s="1"/>
  <c r="BV9" i="5"/>
  <c r="BV27" i="5"/>
  <c r="BV28" i="5" s="1"/>
  <c r="L7" i="5"/>
  <c r="L8" i="5"/>
  <c r="G5" i="9" l="1"/>
  <c r="K15" i="7" l="1"/>
  <c r="I19" i="11" l="1"/>
  <c r="I18" i="11"/>
  <c r="I17" i="11"/>
  <c r="I16" i="11"/>
  <c r="I15" i="11"/>
  <c r="H19" i="11"/>
  <c r="H17" i="11"/>
  <c r="H16" i="11"/>
  <c r="H15" i="11"/>
  <c r="I8" i="11"/>
  <c r="I7" i="11"/>
  <c r="I6" i="11"/>
  <c r="I5" i="11"/>
  <c r="I4" i="11"/>
  <c r="H8" i="11"/>
  <c r="H6" i="11"/>
  <c r="H5" i="11"/>
  <c r="H4" i="11"/>
  <c r="AM8" i="5" l="1"/>
  <c r="AM7" i="5"/>
  <c r="AM6" i="5"/>
  <c r="AM5" i="5"/>
  <c r="AM4" i="5"/>
  <c r="AM3" i="5"/>
  <c r="AJ15" i="5"/>
  <c r="AN8" i="5" s="1"/>
  <c r="AJ14" i="5"/>
  <c r="AN7" i="5" s="1"/>
  <c r="AJ13" i="5"/>
  <c r="AJ12" i="5"/>
  <c r="AJ11" i="5"/>
  <c r="AJ10" i="5"/>
  <c r="AJ9" i="5"/>
  <c r="AJ8" i="5"/>
  <c r="AJ7" i="5"/>
  <c r="AJ6" i="5"/>
  <c r="AJ5" i="5"/>
  <c r="AJ4" i="5"/>
  <c r="AJ3" i="5"/>
  <c r="AJ2" i="5"/>
  <c r="T15" i="5"/>
  <c r="T14" i="5"/>
  <c r="T13" i="5"/>
  <c r="T12" i="5"/>
  <c r="T11" i="5"/>
  <c r="E6" i="10"/>
  <c r="E5" i="10"/>
  <c r="E4" i="10"/>
  <c r="E3" i="10"/>
  <c r="I6" i="9"/>
  <c r="I5" i="9"/>
  <c r="I4" i="9"/>
  <c r="I3" i="9"/>
  <c r="H6" i="9"/>
  <c r="H5" i="9"/>
  <c r="H4" i="9"/>
  <c r="H3" i="9"/>
  <c r="G6" i="9"/>
  <c r="G4" i="9"/>
  <c r="G3" i="9"/>
  <c r="L6" i="5"/>
  <c r="L5" i="5"/>
  <c r="L4" i="5"/>
  <c r="L3" i="5"/>
  <c r="I15" i="5"/>
  <c r="M8" i="5" s="1"/>
  <c r="L18" i="5" s="1"/>
  <c r="I14" i="5"/>
  <c r="M7" i="5" s="1"/>
  <c r="I13" i="5"/>
  <c r="I12" i="5"/>
  <c r="I11" i="5"/>
  <c r="I10" i="5"/>
  <c r="I9" i="5"/>
  <c r="I8" i="5"/>
  <c r="I7" i="5"/>
  <c r="I6" i="5"/>
  <c r="I5" i="5"/>
  <c r="I4" i="5"/>
  <c r="I3" i="5"/>
  <c r="I2" i="5"/>
  <c r="Y18" i="5" l="1"/>
  <c r="AN6" i="5"/>
  <c r="AO6" i="5" s="1"/>
  <c r="Y13" i="5"/>
  <c r="Y17" i="5"/>
  <c r="AA5" i="5"/>
  <c r="Y14" i="5"/>
  <c r="M3" i="5"/>
  <c r="N3" i="5" s="1"/>
  <c r="AB5" i="5"/>
  <c r="AA3" i="5"/>
  <c r="M4" i="5"/>
  <c r="L14" i="5" s="1"/>
  <c r="M5" i="5"/>
  <c r="L15" i="5" s="1"/>
  <c r="Y16" i="5"/>
  <c r="Y15" i="5"/>
  <c r="AN3" i="5"/>
  <c r="AP3" i="5" s="1"/>
  <c r="AN4" i="5"/>
  <c r="AP4" i="5" s="1"/>
  <c r="AN5" i="5"/>
  <c r="AO5" i="5" s="1"/>
  <c r="AA7" i="5"/>
  <c r="M6" i="5"/>
  <c r="N6" i="5" s="1"/>
  <c r="AA4" i="5"/>
  <c r="AP7" i="5"/>
  <c r="AO7" i="5"/>
  <c r="N7" i="5"/>
  <c r="AP6" i="5"/>
  <c r="O8" i="5"/>
  <c r="N8" i="5"/>
  <c r="AM17" i="5"/>
  <c r="AO4" i="5"/>
  <c r="AO8" i="5"/>
  <c r="AP8" i="5"/>
  <c r="O4" i="5"/>
  <c r="O7" i="5"/>
  <c r="AM18" i="5"/>
  <c r="AB3" i="5"/>
  <c r="AB7" i="5"/>
  <c r="L17" i="5"/>
  <c r="AB4" i="5"/>
  <c r="AB8" i="5"/>
  <c r="AA8" i="5"/>
  <c r="J6" i="6"/>
  <c r="J5" i="6"/>
  <c r="J4" i="6"/>
  <c r="J3" i="6"/>
  <c r="J2" i="6"/>
  <c r="I6" i="6"/>
  <c r="I5" i="6"/>
  <c r="I4" i="6"/>
  <c r="O5" i="6" s="1"/>
  <c r="I3" i="6"/>
  <c r="O4" i="6" s="1"/>
  <c r="I2" i="6"/>
  <c r="AN9" i="7"/>
  <c r="AN8" i="7"/>
  <c r="AN7" i="7"/>
  <c r="AN6" i="7"/>
  <c r="AN5" i="7"/>
  <c r="AN4" i="7"/>
  <c r="AM9" i="7"/>
  <c r="AM8" i="7"/>
  <c r="AM7" i="7"/>
  <c r="AM6" i="7"/>
  <c r="AM5" i="7"/>
  <c r="AM4" i="7"/>
  <c r="AL9" i="7"/>
  <c r="AL8" i="7"/>
  <c r="AL7" i="7"/>
  <c r="AL6" i="7"/>
  <c r="AL5" i="7"/>
  <c r="AL4" i="7"/>
  <c r="N36" i="7"/>
  <c r="N37" i="7"/>
  <c r="N38" i="7"/>
  <c r="N39" i="7"/>
  <c r="N40" i="7"/>
  <c r="N41" i="7"/>
  <c r="N42" i="7"/>
  <c r="N43" i="7"/>
  <c r="N44" i="7"/>
  <c r="N45" i="7"/>
  <c r="N46" i="7"/>
  <c r="N47" i="7"/>
  <c r="U41" i="7" s="1"/>
  <c r="N48" i="7"/>
  <c r="U42" i="7" s="1"/>
  <c r="N35" i="7"/>
  <c r="M36" i="7"/>
  <c r="M37" i="7"/>
  <c r="M38" i="7"/>
  <c r="M39" i="7"/>
  <c r="M40" i="7"/>
  <c r="M41" i="7"/>
  <c r="M42" i="7"/>
  <c r="M43" i="7"/>
  <c r="M44" i="7"/>
  <c r="M45" i="7"/>
  <c r="M46" i="7"/>
  <c r="M47" i="7"/>
  <c r="T41" i="7" s="1"/>
  <c r="M48" i="7"/>
  <c r="T42" i="7" s="1"/>
  <c r="M35" i="7"/>
  <c r="L36" i="7"/>
  <c r="L37" i="7"/>
  <c r="L38" i="7"/>
  <c r="L39" i="7"/>
  <c r="L40" i="7"/>
  <c r="L41" i="7"/>
  <c r="L42" i="7"/>
  <c r="L43" i="7"/>
  <c r="L44" i="7"/>
  <c r="L45" i="7"/>
  <c r="L46" i="7"/>
  <c r="L47" i="7"/>
  <c r="S41" i="7" s="1"/>
  <c r="L48" i="7"/>
  <c r="S42" i="7" s="1"/>
  <c r="L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R42" i="7" s="1"/>
  <c r="K35" i="7"/>
  <c r="N20" i="7"/>
  <c r="N21" i="7"/>
  <c r="N22" i="7"/>
  <c r="N23" i="7"/>
  <c r="N24" i="7"/>
  <c r="N25" i="7"/>
  <c r="N26" i="7"/>
  <c r="N27" i="7"/>
  <c r="N28" i="7"/>
  <c r="N29" i="7"/>
  <c r="N30" i="7"/>
  <c r="N31" i="7"/>
  <c r="U25" i="7" s="1"/>
  <c r="N32" i="7"/>
  <c r="U26" i="7" s="1"/>
  <c r="N19" i="7"/>
  <c r="M20" i="7"/>
  <c r="M21" i="7"/>
  <c r="M22" i="7"/>
  <c r="M23" i="7"/>
  <c r="M24" i="7"/>
  <c r="M25" i="7"/>
  <c r="M26" i="7"/>
  <c r="M27" i="7"/>
  <c r="M28" i="7"/>
  <c r="M29" i="7"/>
  <c r="M30" i="7"/>
  <c r="M31" i="7"/>
  <c r="T25" i="7" s="1"/>
  <c r="M32" i="7"/>
  <c r="T26" i="7" s="1"/>
  <c r="M19" i="7"/>
  <c r="L20" i="7"/>
  <c r="L21" i="7"/>
  <c r="L22" i="7"/>
  <c r="L23" i="7"/>
  <c r="L24" i="7"/>
  <c r="L25" i="7"/>
  <c r="L26" i="7"/>
  <c r="L27" i="7"/>
  <c r="L28" i="7"/>
  <c r="L29" i="7"/>
  <c r="L30" i="7"/>
  <c r="L31" i="7"/>
  <c r="S25" i="7" s="1"/>
  <c r="L32" i="7"/>
  <c r="S26" i="7" s="1"/>
  <c r="L19" i="7"/>
  <c r="K20" i="7"/>
  <c r="K21" i="7"/>
  <c r="K22" i="7"/>
  <c r="K23" i="7"/>
  <c r="K24" i="7"/>
  <c r="K25" i="7"/>
  <c r="K26" i="7"/>
  <c r="K27" i="7"/>
  <c r="K28" i="7"/>
  <c r="K29" i="7"/>
  <c r="K30" i="7"/>
  <c r="K31" i="7"/>
  <c r="R25" i="7" s="1"/>
  <c r="K32" i="7"/>
  <c r="K19" i="7"/>
  <c r="N4" i="7"/>
  <c r="N5" i="7"/>
  <c r="N6" i="7"/>
  <c r="N7" i="7"/>
  <c r="N8" i="7"/>
  <c r="N9" i="7"/>
  <c r="N10" i="7"/>
  <c r="N11" i="7"/>
  <c r="N12" i="7"/>
  <c r="N13" i="7"/>
  <c r="N14" i="7"/>
  <c r="N15" i="7"/>
  <c r="U7" i="7" s="1"/>
  <c r="N16" i="7"/>
  <c r="U8" i="7" s="1"/>
  <c r="M4" i="7"/>
  <c r="M5" i="7"/>
  <c r="M6" i="7"/>
  <c r="M7" i="7"/>
  <c r="M8" i="7"/>
  <c r="M9" i="7"/>
  <c r="M10" i="7"/>
  <c r="M11" i="7"/>
  <c r="M12" i="7"/>
  <c r="M13" i="7"/>
  <c r="M14" i="7"/>
  <c r="M15" i="7"/>
  <c r="T7" i="7" s="1"/>
  <c r="M16" i="7"/>
  <c r="T8" i="7" s="1"/>
  <c r="L4" i="7"/>
  <c r="L5" i="7"/>
  <c r="L6" i="7"/>
  <c r="L7" i="7"/>
  <c r="L8" i="7"/>
  <c r="L9" i="7"/>
  <c r="L10" i="7"/>
  <c r="L11" i="7"/>
  <c r="L12" i="7"/>
  <c r="L13" i="7"/>
  <c r="L14" i="7"/>
  <c r="L15" i="7"/>
  <c r="S7" i="7" s="1"/>
  <c r="L16" i="7"/>
  <c r="S8" i="7" s="1"/>
  <c r="K4" i="7"/>
  <c r="K5" i="7"/>
  <c r="K6" i="7"/>
  <c r="K7" i="7"/>
  <c r="K8" i="7"/>
  <c r="K9" i="7"/>
  <c r="K10" i="7"/>
  <c r="K11" i="7"/>
  <c r="K12" i="7"/>
  <c r="K13" i="7"/>
  <c r="K14" i="7"/>
  <c r="K16" i="7"/>
  <c r="K8" i="4"/>
  <c r="K7" i="4"/>
  <c r="K6" i="4"/>
  <c r="K5" i="4"/>
  <c r="K4" i="4"/>
  <c r="K3" i="4"/>
  <c r="J8" i="4"/>
  <c r="J7" i="4"/>
  <c r="J6" i="4"/>
  <c r="J5" i="4"/>
  <c r="J4" i="4"/>
  <c r="J3" i="4"/>
  <c r="L13" i="5" l="1"/>
  <c r="AM14" i="5"/>
  <c r="L3" i="4"/>
  <c r="L7" i="4"/>
  <c r="R3" i="7"/>
  <c r="R6" i="7"/>
  <c r="S4" i="7"/>
  <c r="T6" i="7"/>
  <c r="T3" i="7"/>
  <c r="U4" i="7"/>
  <c r="R24" i="7"/>
  <c r="R21" i="7"/>
  <c r="S22" i="7"/>
  <c r="T24" i="7"/>
  <c r="T21" i="7"/>
  <c r="U22" i="7"/>
  <c r="R40" i="7"/>
  <c r="R37" i="7"/>
  <c r="S38" i="7"/>
  <c r="T40" i="7"/>
  <c r="U38" i="7"/>
  <c r="O3" i="5"/>
  <c r="L4" i="4"/>
  <c r="R5" i="7"/>
  <c r="S3" i="7"/>
  <c r="S5" i="7"/>
  <c r="U3" i="7"/>
  <c r="U5" i="7"/>
  <c r="S21" i="7"/>
  <c r="S24" i="7"/>
  <c r="T22" i="7"/>
  <c r="U21" i="7"/>
  <c r="U24" i="7"/>
  <c r="R38" i="7"/>
  <c r="S37" i="7"/>
  <c r="S39" i="7"/>
  <c r="T39" i="7"/>
  <c r="U37" i="7"/>
  <c r="U39" i="7"/>
  <c r="O6" i="6"/>
  <c r="AM16" i="5"/>
  <c r="N5" i="5"/>
  <c r="L5" i="4"/>
  <c r="S6" i="7"/>
  <c r="T4" i="7"/>
  <c r="U6" i="7"/>
  <c r="R22" i="7"/>
  <c r="L6" i="4"/>
  <c r="T5" i="7"/>
  <c r="R23" i="7"/>
  <c r="T23" i="7"/>
  <c r="R39" i="7"/>
  <c r="T37" i="7"/>
  <c r="O3" i="6"/>
  <c r="O7" i="6"/>
  <c r="R4" i="7"/>
  <c r="S23" i="7"/>
  <c r="U23" i="7"/>
  <c r="S40" i="7"/>
  <c r="T38" i="7"/>
  <c r="U40" i="7"/>
  <c r="O5" i="5"/>
  <c r="AB6" i="5"/>
  <c r="O6" i="5"/>
  <c r="N4" i="5"/>
  <c r="AM13" i="5"/>
  <c r="AO3" i="5"/>
  <c r="AP5" i="5"/>
  <c r="L16" i="5"/>
  <c r="AA6" i="5"/>
  <c r="AM15" i="5"/>
  <c r="L8" i="4"/>
  <c r="K6" i="8"/>
  <c r="K5" i="8"/>
  <c r="K4" i="8"/>
  <c r="K3" i="8"/>
  <c r="J6" i="8"/>
  <c r="J5" i="8"/>
  <c r="J4" i="8"/>
  <c r="J3" i="8"/>
  <c r="I8" i="8"/>
  <c r="I7" i="8"/>
  <c r="I6" i="8"/>
  <c r="I5" i="8"/>
  <c r="I4" i="8"/>
  <c r="I3" i="8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</calcChain>
</file>

<file path=xl/sharedStrings.xml><?xml version="1.0" encoding="utf-8"?>
<sst xmlns="http://schemas.openxmlformats.org/spreadsheetml/2006/main" count="1099" uniqueCount="224">
  <si>
    <t>1.0.1</t>
  </si>
  <si>
    <t>1.0.2</t>
  </si>
  <si>
    <t>1.0.3</t>
  </si>
  <si>
    <t>1.1.1</t>
  </si>
  <si>
    <t>1.1.2</t>
  </si>
  <si>
    <t>1.1.3</t>
  </si>
  <si>
    <t>1.2.1</t>
  </si>
  <si>
    <t>1.2.2</t>
  </si>
  <si>
    <t>1.2.3</t>
  </si>
  <si>
    <t>1.3.1</t>
  </si>
  <si>
    <t>1.3.2</t>
  </si>
  <si>
    <t>1.3.3</t>
  </si>
  <si>
    <t>1.4.1</t>
  </si>
  <si>
    <t>1.4.2</t>
  </si>
  <si>
    <t>1.4.3</t>
  </si>
  <si>
    <t>1.5.1</t>
  </si>
  <si>
    <t>1.5.2</t>
  </si>
  <si>
    <t>1.5.3</t>
  </si>
  <si>
    <t>Sample Number</t>
  </si>
  <si>
    <t>K+</t>
  </si>
  <si>
    <t>Na+</t>
  </si>
  <si>
    <t>Ca2+</t>
  </si>
  <si>
    <t>Cl-</t>
  </si>
  <si>
    <t>HNO3</t>
  </si>
  <si>
    <t>m</t>
  </si>
  <si>
    <t>CCI</t>
  </si>
  <si>
    <t>Mean</t>
  </si>
  <si>
    <t>1.0</t>
  </si>
  <si>
    <t>1.1</t>
  </si>
  <si>
    <t>1.2</t>
  </si>
  <si>
    <t>1.3</t>
  </si>
  <si>
    <t>1.4</t>
  </si>
  <si>
    <t>1.5</t>
  </si>
  <si>
    <t>20/06/2023</t>
  </si>
  <si>
    <t>30/06/2023</t>
  </si>
  <si>
    <t>Shoot Length</t>
  </si>
  <si>
    <t>Stem diameter, mm</t>
  </si>
  <si>
    <t>Sample number</t>
  </si>
  <si>
    <t>Leaf number</t>
  </si>
  <si>
    <t>Leaf weight</t>
  </si>
  <si>
    <t>Leaf surface, cm2</t>
  </si>
  <si>
    <t>LS=LFW/LA</t>
  </si>
  <si>
    <t>Leaf weight, g</t>
  </si>
  <si>
    <t>LS</t>
  </si>
  <si>
    <t>Salinity degree</t>
  </si>
  <si>
    <t>root</t>
  </si>
  <si>
    <t>leaf</t>
  </si>
  <si>
    <t>Non</t>
  </si>
  <si>
    <t>Slight</t>
  </si>
  <si>
    <t>Moderate</t>
  </si>
  <si>
    <t>High</t>
  </si>
  <si>
    <t>Exteme 1</t>
  </si>
  <si>
    <t>Extreme 2</t>
  </si>
  <si>
    <t>K/Na ratio</t>
  </si>
  <si>
    <t>Mean K+</t>
  </si>
  <si>
    <t>Mean Na+</t>
  </si>
  <si>
    <t xml:space="preserve">Dry weight (root) </t>
  </si>
  <si>
    <t xml:space="preserve">Dry weight (shoot) </t>
  </si>
  <si>
    <t xml:space="preserve">Dry weight (leaf) </t>
  </si>
  <si>
    <t xml:space="preserve">Mean EC-24 hours </t>
  </si>
  <si>
    <t>EC-autoclave</t>
  </si>
  <si>
    <t>H2O</t>
  </si>
  <si>
    <t>MDR=(EC1/EC2) × 100</t>
  </si>
  <si>
    <t xml:space="preserve">Sample Number </t>
  </si>
  <si>
    <t>MDR</t>
  </si>
  <si>
    <t>Fresh weight</t>
  </si>
  <si>
    <t>Dry weight</t>
  </si>
  <si>
    <t>10.67</t>
  </si>
  <si>
    <t>Mean Root</t>
  </si>
  <si>
    <t>Dry/Fresh</t>
  </si>
  <si>
    <t>Fresh/Dry</t>
  </si>
  <si>
    <t>RWC%= [(FWr – DWr)/FWr] × 100</t>
  </si>
  <si>
    <t>RWC%</t>
  </si>
  <si>
    <t>Mean Shoot</t>
  </si>
  <si>
    <t>SWC% = [(FWs – DWs)/FWs] × 100</t>
  </si>
  <si>
    <t>SWC%</t>
  </si>
  <si>
    <t>root/shoot ratio (R/S)</t>
  </si>
  <si>
    <t>R/S-Fresh</t>
  </si>
  <si>
    <t>R/S-Dry</t>
  </si>
  <si>
    <t>Mean Leaf</t>
  </si>
  <si>
    <t>LWC%</t>
  </si>
  <si>
    <t>Sample  number</t>
  </si>
  <si>
    <t>CO2in-ppm</t>
  </si>
  <si>
    <t>Pn-umol/m^2/s</t>
  </si>
  <si>
    <t>E-mmol/m^2/s</t>
  </si>
  <si>
    <t>C-mmol/m^2/s</t>
  </si>
  <si>
    <t>1․0 C</t>
  </si>
  <si>
    <t>1.1 C</t>
  </si>
  <si>
    <t>1.2 C</t>
  </si>
  <si>
    <t>1.3 C</t>
  </si>
  <si>
    <t>1.4 C</t>
  </si>
  <si>
    <t>1.5 C</t>
  </si>
  <si>
    <t>1.0 C</t>
  </si>
  <si>
    <t>1․5</t>
  </si>
  <si>
    <t>First measurement</t>
  </si>
  <si>
    <t>Second measurement</t>
  </si>
  <si>
    <t>Third measurement</t>
  </si>
  <si>
    <t>Extreme1</t>
  </si>
  <si>
    <t>Extreme2</t>
  </si>
  <si>
    <t>Fresh weight (root)</t>
  </si>
  <si>
    <r>
      <t>LWC% = [(FW</t>
    </r>
    <r>
      <rPr>
        <sz val="9"/>
        <color rgb="FFFF0000"/>
        <rFont val="Times New Roman"/>
        <family val="1"/>
        <charset val="204"/>
      </rPr>
      <t>L</t>
    </r>
    <r>
      <rPr>
        <sz val="11"/>
        <color rgb="FFFF0000"/>
        <rFont val="Times New Roman"/>
        <family val="1"/>
        <charset val="204"/>
      </rPr>
      <t xml:space="preserve"> – DW</t>
    </r>
    <r>
      <rPr>
        <sz val="9"/>
        <color rgb="FFFF0000"/>
        <rFont val="Times New Roman"/>
        <family val="1"/>
        <charset val="204"/>
      </rPr>
      <t>L</t>
    </r>
    <r>
      <rPr>
        <sz val="11"/>
        <color rgb="FFFF0000"/>
        <rFont val="Times New Roman"/>
        <family val="1"/>
        <charset val="204"/>
      </rPr>
      <t>)/FW</t>
    </r>
    <r>
      <rPr>
        <sz val="9"/>
        <color rgb="FFFF0000"/>
        <rFont val="Times New Roman"/>
        <family val="1"/>
        <charset val="204"/>
      </rPr>
      <t>L</t>
    </r>
    <r>
      <rPr>
        <sz val="11"/>
        <color rgb="FFFF0000"/>
        <rFont val="Times New Roman"/>
        <family val="1"/>
        <charset val="204"/>
      </rPr>
      <t>] × 100</t>
    </r>
  </si>
  <si>
    <t>Fresh weight (shoot)</t>
  </si>
  <si>
    <t>FWr/FWs</t>
  </si>
  <si>
    <t xml:space="preserve">DWr/DWs </t>
  </si>
  <si>
    <t>Fresh weight (leaf)</t>
  </si>
  <si>
    <t>Root/Shoot DW ratio</t>
  </si>
  <si>
    <t>Root/Shoot FW ratio</t>
  </si>
  <si>
    <t xml:space="preserve">Root TWC </t>
  </si>
  <si>
    <t>Shoot TWC</t>
  </si>
  <si>
    <t>Leaf TWC</t>
  </si>
  <si>
    <t>TWC= (FW−DW)/DW</t>
  </si>
  <si>
    <t>REL</t>
  </si>
  <si>
    <t>Water use efficiency (WUE)</t>
  </si>
  <si>
    <t>Shoot Length, cm</t>
  </si>
  <si>
    <t xml:space="preserve">Shoot TWC </t>
  </si>
  <si>
    <t>Pn</t>
  </si>
  <si>
    <t>E</t>
  </si>
  <si>
    <t>WUE</t>
  </si>
  <si>
    <t>K+ root</t>
  </si>
  <si>
    <t>Na+ root</t>
  </si>
  <si>
    <t>Ca2+ root</t>
  </si>
  <si>
    <t>Cl- root</t>
  </si>
  <si>
    <t xml:space="preserve">Leaf TWC </t>
  </si>
  <si>
    <t>K+ leaf</t>
  </si>
  <si>
    <t>Na+ leaf</t>
  </si>
  <si>
    <t>Ca2+ leaf</t>
  </si>
  <si>
    <t>Cl- leaf</t>
  </si>
  <si>
    <t>Total dry weight</t>
  </si>
  <si>
    <t>STI (%)</t>
  </si>
  <si>
    <t>Total dry weight of control</t>
  </si>
  <si>
    <t>Mean of STI</t>
  </si>
  <si>
    <t>Shoot length</t>
  </si>
  <si>
    <t>Salinity shoot toxicity %</t>
  </si>
  <si>
    <t>Shoot length of control</t>
  </si>
  <si>
    <t>Shoot length stress Index %</t>
  </si>
  <si>
    <t>Fresh weight of shoot</t>
  </si>
  <si>
    <t>Fresh weight of control</t>
  </si>
  <si>
    <t>Fresh weight of stem</t>
  </si>
  <si>
    <t>Fresh weight of leaf</t>
  </si>
  <si>
    <t>Dry weight of stem</t>
  </si>
  <si>
    <t>Dry weight of leaf</t>
  </si>
  <si>
    <t>Fresh weight (stem)</t>
  </si>
  <si>
    <t xml:space="preserve">Dry weight (stem) </t>
  </si>
  <si>
    <t>Shoot weight stress Index, %</t>
  </si>
  <si>
    <t>1.0.1root</t>
  </si>
  <si>
    <t>1.0.2r</t>
  </si>
  <si>
    <t>1.0.3r</t>
  </si>
  <si>
    <t>1.1.1r</t>
  </si>
  <si>
    <t>1.1.2r</t>
  </si>
  <si>
    <t>1.1.3r</t>
  </si>
  <si>
    <t>1.2.1r</t>
  </si>
  <si>
    <t>1.2.2r</t>
  </si>
  <si>
    <t>1.2.3r</t>
  </si>
  <si>
    <t>1.3.1r</t>
  </si>
  <si>
    <t>1.3.2r</t>
  </si>
  <si>
    <t>1.3.3r</t>
  </si>
  <si>
    <t>1.4.3r</t>
  </si>
  <si>
    <t>1.5.3r</t>
  </si>
  <si>
    <t>1.0.1stem</t>
  </si>
  <si>
    <t>1.0.2s</t>
  </si>
  <si>
    <t>1.0.3s</t>
  </si>
  <si>
    <t>1.1.1s</t>
  </si>
  <si>
    <t>1.1.2s</t>
  </si>
  <si>
    <t>1.1.3s</t>
  </si>
  <si>
    <t>1.2.1s</t>
  </si>
  <si>
    <t>1.2.2s</t>
  </si>
  <si>
    <t>1.2.3s</t>
  </si>
  <si>
    <t>1.3.1s</t>
  </si>
  <si>
    <t>1.3.2s</t>
  </si>
  <si>
    <t>1.3.3s</t>
  </si>
  <si>
    <t>1.4.3s</t>
  </si>
  <si>
    <t>1.5.3s</t>
  </si>
  <si>
    <t>1.0.1leaf</t>
  </si>
  <si>
    <t>1.0.2l</t>
  </si>
  <si>
    <t>1.0.3l</t>
  </si>
  <si>
    <t>1.1.1l</t>
  </si>
  <si>
    <t>1.1.2l</t>
  </si>
  <si>
    <t>1.1.3l</t>
  </si>
  <si>
    <t>1.2.1l</t>
  </si>
  <si>
    <t>1.2.2l</t>
  </si>
  <si>
    <t>1.2.3l</t>
  </si>
  <si>
    <t>1.3.1l</t>
  </si>
  <si>
    <t>1.3.2l</t>
  </si>
  <si>
    <t>1.3.3l</t>
  </si>
  <si>
    <t>1.4.3l</t>
  </si>
  <si>
    <t>1.5.1l</t>
  </si>
  <si>
    <t xml:space="preserve">paper weight </t>
  </si>
  <si>
    <t>1.0r</t>
  </si>
  <si>
    <t>1.1r</t>
  </si>
  <si>
    <t>1.2r</t>
  </si>
  <si>
    <t>1.3r</t>
  </si>
  <si>
    <t>1.4r</t>
  </si>
  <si>
    <t>1.5r</t>
  </si>
  <si>
    <t>1.0s</t>
  </si>
  <si>
    <t>1.1s</t>
  </si>
  <si>
    <t>1.2s</t>
  </si>
  <si>
    <t>1.3s</t>
  </si>
  <si>
    <t>1.4s</t>
  </si>
  <si>
    <t>1.5s</t>
  </si>
  <si>
    <t>1.0l</t>
  </si>
  <si>
    <t>1.1l</t>
  </si>
  <si>
    <t>1.2l</t>
  </si>
  <si>
    <t>1.3l</t>
  </si>
  <si>
    <t>1.4l</t>
  </si>
  <si>
    <t>1.5l</t>
  </si>
  <si>
    <t>Ion content in dry matter, mg/g</t>
  </si>
  <si>
    <t xml:space="preserve"> Ion content in leaf dry matter, mg/g</t>
  </si>
  <si>
    <t>Ion content in stem dry matter, mg/g</t>
  </si>
  <si>
    <t>Ion content in root dry matter, mg/g</t>
  </si>
  <si>
    <t>The content of some ions in the dry matter of the root, leaf and shoot of plants, mg/g</t>
  </si>
  <si>
    <t>stem</t>
  </si>
  <si>
    <t>Phytodesalinization - the mass of ions removed by one plant</t>
  </si>
  <si>
    <t xml:space="preserve">24 hours </t>
  </si>
  <si>
    <t>Autoclave</t>
  </si>
  <si>
    <t xml:space="preserve">Plant weight </t>
  </si>
  <si>
    <t xml:space="preserve">Water Valume </t>
  </si>
  <si>
    <t>Pn-umol/m^2/s of plants grown in clay loam soil</t>
  </si>
  <si>
    <t xml:space="preserve"> E-mmol/m^2/s of plants grown in clay loam soil</t>
  </si>
  <si>
    <t>Water use efficiency (WUE) of plants grown in clay loam soil</t>
  </si>
  <si>
    <t>Plants grown in clay loam soil</t>
  </si>
  <si>
    <t>K+ stem</t>
  </si>
  <si>
    <t>Na+ stem</t>
  </si>
  <si>
    <t>Ca2+ stem</t>
  </si>
  <si>
    <t>Cl- 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</si>
</sst>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1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b/>
      <i/>
      <sz val="11"/>
      <color theme="1"/>
      <name val="Sylfae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Sylfaen"/>
      <family val="1"/>
    </font>
    <font>
      <i/>
      <sz val="11"/>
      <color theme="1"/>
      <name val="Sylfaen"/>
      <family val="1"/>
    </font>
    <font>
      <i/>
      <sz val="10"/>
      <color theme="1"/>
      <name val="Sylfaen"/>
      <family val="1"/>
    </font>
    <font>
      <b/>
      <i/>
      <sz val="11"/>
      <color theme="1"/>
      <name val="Sylfaen"/>
      <family val="1"/>
    </font>
    <font>
      <b/>
      <sz val="10"/>
      <color theme="1"/>
      <name val="Sylfaen"/>
      <family val="1"/>
      <charset val="204"/>
    </font>
    <font>
      <b/>
      <sz val="11"/>
      <name val="Sylfaen"/>
      <family val="1"/>
      <charset val="204"/>
    </font>
    <font>
      <b/>
      <i/>
      <sz val="12"/>
      <color theme="1"/>
      <name val="Sylfaen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Sylfaen"/>
      <family val="1"/>
    </font>
    <font>
      <sz val="9"/>
      <color theme="1"/>
      <name val="Times New Roman"/>
      <family val="1"/>
      <charset val="204"/>
    </font>
    <font>
      <sz val="9"/>
      <color rgb="FFFF0000"/>
      <name val="Sylfaen"/>
      <family val="1"/>
    </font>
    <font>
      <sz val="9"/>
      <color rgb="FFFF0000"/>
      <name val="Calibri"/>
      <family val="2"/>
      <scheme val="minor"/>
    </font>
    <font>
      <sz val="11"/>
      <name val="Sylfaen"/>
      <family val="1"/>
    </font>
    <font>
      <b/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0" fillId="0" borderId="0" xfId="0" applyNumberFormat="1"/>
    <xf numFmtId="2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2" borderId="0" xfId="0" applyFill="1"/>
    <xf numFmtId="0" fontId="4" fillId="0" borderId="0" xfId="0" applyFont="1"/>
    <xf numFmtId="0" fontId="4" fillId="2" borderId="0" xfId="0" applyFont="1" applyFill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0" fontId="8" fillId="0" borderId="0" xfId="0" applyFont="1"/>
    <xf numFmtId="0" fontId="11" fillId="0" borderId="16" xfId="0" applyFont="1" applyBorder="1"/>
    <xf numFmtId="0" fontId="5" fillId="0" borderId="5" xfId="0" applyFont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5" fillId="0" borderId="0" xfId="0" applyFont="1"/>
    <xf numFmtId="0" fontId="1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0" fontId="14" fillId="0" borderId="24" xfId="0" applyFont="1" applyBorder="1"/>
    <xf numFmtId="14" fontId="14" fillId="0" borderId="25" xfId="0" applyNumberFormat="1" applyFont="1" applyBorder="1"/>
    <xf numFmtId="0" fontId="15" fillId="0" borderId="19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6" fillId="0" borderId="0" xfId="0" applyFont="1"/>
    <xf numFmtId="14" fontId="16" fillId="0" borderId="0" xfId="0" applyNumberFormat="1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16" fillId="0" borderId="0" xfId="0" applyNumberFormat="1" applyFont="1"/>
    <xf numFmtId="49" fontId="15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 vertical="center"/>
    </xf>
    <xf numFmtId="0" fontId="18" fillId="0" borderId="0" xfId="0" applyFont="1"/>
    <xf numFmtId="164" fontId="18" fillId="0" borderId="0" xfId="0" applyNumberFormat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23" xfId="0" applyFont="1" applyBorder="1"/>
    <xf numFmtId="0" fontId="20" fillId="0" borderId="24" xfId="0" applyFont="1" applyBorder="1"/>
    <xf numFmtId="14" fontId="20" fillId="0" borderId="25" xfId="0" applyNumberFormat="1" applyFont="1" applyBorder="1"/>
    <xf numFmtId="0" fontId="20" fillId="0" borderId="16" xfId="0" applyFont="1" applyBorder="1"/>
    <xf numFmtId="0" fontId="20" fillId="0" borderId="26" xfId="0" applyFont="1" applyBorder="1"/>
    <xf numFmtId="14" fontId="16" fillId="0" borderId="0" xfId="0" applyNumberFormat="1" applyFont="1"/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2" fontId="16" fillId="0" borderId="0" xfId="0" applyNumberFormat="1" applyFont="1"/>
    <xf numFmtId="0" fontId="21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22" fillId="0" borderId="0" xfId="0" applyFont="1"/>
    <xf numFmtId="0" fontId="21" fillId="0" borderId="0" xfId="0" applyFont="1" applyAlignment="1">
      <alignment horizontal="center" vertical="center"/>
    </xf>
    <xf numFmtId="165" fontId="16" fillId="0" borderId="0" xfId="0" applyNumberFormat="1" applyFont="1"/>
    <xf numFmtId="165" fontId="18" fillId="0" borderId="0" xfId="0" applyNumberFormat="1" applyFont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49" fontId="16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0" fontId="15" fillId="0" borderId="0" xfId="0" applyFont="1"/>
    <xf numFmtId="0" fontId="24" fillId="0" borderId="23" xfId="0" applyFont="1" applyBorder="1"/>
    <xf numFmtId="0" fontId="15" fillId="0" borderId="24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6" fillId="0" borderId="0" xfId="0" applyFont="1" applyAlignment="1">
      <alignment horizontal="right"/>
    </xf>
    <xf numFmtId="165" fontId="0" fillId="0" borderId="0" xfId="0" applyNumberFormat="1"/>
    <xf numFmtId="166" fontId="0" fillId="0" borderId="0" xfId="0" applyNumberFormat="1"/>
    <xf numFmtId="0" fontId="17" fillId="0" borderId="16" xfId="0" applyFont="1" applyBorder="1"/>
    <xf numFmtId="0" fontId="26" fillId="0" borderId="2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2" fontId="3" fillId="0" borderId="0" xfId="0" applyNumberFormat="1" applyFont="1"/>
    <xf numFmtId="2" fontId="8" fillId="0" borderId="0" xfId="0" applyNumberFormat="1" applyFont="1"/>
    <xf numFmtId="2" fontId="18" fillId="0" borderId="0" xfId="0" applyNumberFormat="1" applyFont="1"/>
    <xf numFmtId="2" fontId="7" fillId="0" borderId="0" xfId="0" applyNumberFormat="1" applyFont="1"/>
    <xf numFmtId="0" fontId="17" fillId="0" borderId="26" xfId="0" applyFont="1" applyBorder="1"/>
    <xf numFmtId="0" fontId="15" fillId="0" borderId="17" xfId="0" applyFont="1" applyBorder="1"/>
    <xf numFmtId="0" fontId="15" fillId="0" borderId="24" xfId="0" applyFont="1" applyBorder="1"/>
    <xf numFmtId="14" fontId="15" fillId="0" borderId="25" xfId="0" applyNumberFormat="1" applyFont="1" applyBorder="1"/>
    <xf numFmtId="0" fontId="15" fillId="0" borderId="17" xfId="0" applyFont="1" applyBorder="1" applyAlignment="1">
      <alignment horizontal="center"/>
    </xf>
    <xf numFmtId="14" fontId="15" fillId="0" borderId="25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9" fillId="0" borderId="16" xfId="0" applyFont="1" applyBorder="1"/>
    <xf numFmtId="2" fontId="30" fillId="0" borderId="0" xfId="0" applyNumberFormat="1" applyFont="1"/>
    <xf numFmtId="2" fontId="31" fillId="0" borderId="0" xfId="0" applyNumberFormat="1" applyFont="1"/>
    <xf numFmtId="2" fontId="32" fillId="0" borderId="0" xfId="0" applyNumberFormat="1" applyFont="1"/>
    <xf numFmtId="2" fontId="33" fillId="0" borderId="0" xfId="0" applyNumberFormat="1" applyFont="1"/>
    <xf numFmtId="2" fontId="34" fillId="0" borderId="0" xfId="0" applyNumberFormat="1" applyFont="1"/>
    <xf numFmtId="0" fontId="32" fillId="0" borderId="0" xfId="0" applyFont="1"/>
    <xf numFmtId="2" fontId="23" fillId="0" borderId="0" xfId="0" applyNumberFormat="1" applyFont="1"/>
    <xf numFmtId="0" fontId="30" fillId="0" borderId="0" xfId="0" applyFont="1"/>
    <xf numFmtId="0" fontId="31" fillId="0" borderId="0" xfId="0" applyFont="1"/>
    <xf numFmtId="0" fontId="29" fillId="0" borderId="26" xfId="0" applyFont="1" applyBorder="1"/>
    <xf numFmtId="40" fontId="35" fillId="0" borderId="0" xfId="0" applyNumberFormat="1" applyFont="1"/>
    <xf numFmtId="40" fontId="2" fillId="0" borderId="1" xfId="0" applyNumberFormat="1" applyFont="1" applyBorder="1"/>
    <xf numFmtId="40" fontId="2" fillId="0" borderId="27" xfId="0" applyNumberFormat="1" applyFont="1" applyBorder="1"/>
    <xf numFmtId="40" fontId="11" fillId="0" borderId="16" xfId="0" applyNumberFormat="1" applyFont="1" applyBorder="1"/>
    <xf numFmtId="40" fontId="3" fillId="0" borderId="0" xfId="0" applyNumberFormat="1" applyFont="1"/>
    <xf numFmtId="39" fontId="35" fillId="0" borderId="0" xfId="0" applyNumberFormat="1" applyFont="1"/>
    <xf numFmtId="40" fontId="11" fillId="0" borderId="26" xfId="0" applyNumberFormat="1" applyFont="1" applyBorder="1"/>
    <xf numFmtId="40" fontId="3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4" fontId="20" fillId="0" borderId="0" xfId="0" applyNumberFormat="1" applyFont="1"/>
    <xf numFmtId="0" fontId="36" fillId="0" borderId="0" xfId="0" applyFont="1" applyAlignment="1">
      <alignment horizontal="center" vertic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2" fontId="38" fillId="0" borderId="0" xfId="0" applyNumberFormat="1" applyFont="1"/>
    <xf numFmtId="0" fontId="39" fillId="0" borderId="23" xfId="0" applyFont="1" applyBorder="1"/>
    <xf numFmtId="0" fontId="39" fillId="0" borderId="16" xfId="0" applyFont="1" applyBorder="1"/>
    <xf numFmtId="0" fontId="39" fillId="0" borderId="26" xfId="0" applyFont="1" applyBorder="1"/>
    <xf numFmtId="2" fontId="16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7" fillId="0" borderId="2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/>
    </xf>
    <xf numFmtId="14" fontId="5" fillId="0" borderId="8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17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69189599986518"/>
          <c:y val="0.11515409800579052"/>
          <c:w val="0.82057463920337459"/>
          <c:h val="0.71787775883684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height'!$L$2</c:f>
              <c:strCache>
                <c:ptCount val="1"/>
                <c:pt idx="0">
                  <c:v>First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65000"/>
                    <a:shade val="51000"/>
                    <a:satMod val="130000"/>
                  </a:schemeClr>
                </a:gs>
                <a:gs pos="80000">
                  <a:schemeClr val="accent5">
                    <a:shade val="65000"/>
                    <a:shade val="93000"/>
                    <a:satMod val="130000"/>
                  </a:schemeClr>
                </a:gs>
                <a:gs pos="100000">
                  <a:schemeClr val="accent5">
                    <a:shade val="65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height'!$K$3:$K$8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height'!$L$3:$L$8</c:f>
              <c:numCache>
                <c:formatCode>0.00</c:formatCode>
                <c:ptCount val="6"/>
                <c:pt idx="0">
                  <c:v>80.833333333333329</c:v>
                </c:pt>
                <c:pt idx="1">
                  <c:v>81.666666666666671</c:v>
                </c:pt>
                <c:pt idx="2">
                  <c:v>69</c:v>
                </c:pt>
                <c:pt idx="3">
                  <c:v>54.166666666666664</c:v>
                </c:pt>
                <c:pt idx="4">
                  <c:v>42.5</c:v>
                </c:pt>
                <c:pt idx="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1-4C72-B752-9B0FF8EE9B54}"/>
            </c:ext>
          </c:extLst>
        </c:ser>
        <c:ser>
          <c:idx val="1"/>
          <c:order val="1"/>
          <c:tx>
            <c:strRef>
              <c:f>'Plant height'!$M$2</c:f>
              <c:strCache>
                <c:ptCount val="1"/>
                <c:pt idx="0">
                  <c:v>Second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.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height'!$K$3:$K$8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height'!$M$3:$M$8</c:f>
              <c:numCache>
                <c:formatCode>0.00</c:formatCode>
                <c:ptCount val="6"/>
                <c:pt idx="0">
                  <c:v>93.333333333333329</c:v>
                </c:pt>
                <c:pt idx="1">
                  <c:v>91.333333333333329</c:v>
                </c:pt>
                <c:pt idx="2">
                  <c:v>79.333333333333329</c:v>
                </c:pt>
                <c:pt idx="3">
                  <c:v>61</c:v>
                </c:pt>
                <c:pt idx="4">
                  <c:v>50</c:v>
                </c:pt>
                <c:pt idx="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1-4C72-B752-9B0FF8EE9B54}"/>
            </c:ext>
          </c:extLst>
        </c:ser>
        <c:ser>
          <c:idx val="2"/>
          <c:order val="2"/>
          <c:tx>
            <c:strRef>
              <c:f>'Plant height'!$N$2</c:f>
              <c:strCache>
                <c:ptCount val="1"/>
                <c:pt idx="0">
                  <c:v>Third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65000"/>
                    <a:shade val="51000"/>
                    <a:satMod val="130000"/>
                  </a:schemeClr>
                </a:gs>
                <a:gs pos="80000">
                  <a:schemeClr val="accent5">
                    <a:tint val="65000"/>
                    <a:shade val="93000"/>
                    <a:satMod val="130000"/>
                  </a:schemeClr>
                </a:gs>
                <a:gs pos="100000">
                  <a:schemeClr val="accent5">
                    <a:tint val="65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height'!$K$3:$K$8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height'!$N$3:$N$8</c:f>
              <c:numCache>
                <c:formatCode>0.00</c:formatCode>
                <c:ptCount val="6"/>
                <c:pt idx="0">
                  <c:v>95.333333333333329</c:v>
                </c:pt>
                <c:pt idx="1">
                  <c:v>92.333333333333329</c:v>
                </c:pt>
                <c:pt idx="2">
                  <c:v>82</c:v>
                </c:pt>
                <c:pt idx="3">
                  <c:v>62.666666666666664</c:v>
                </c:pt>
                <c:pt idx="4">
                  <c:v>50.46</c:v>
                </c:pt>
                <c:pt idx="5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1-4C72-B752-9B0FF8EE9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967488"/>
        <c:axId val="219969408"/>
      </c:barChart>
      <c:catAx>
        <c:axId val="219967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</a:t>
                </a:r>
              </a:p>
            </c:rich>
          </c:tx>
          <c:layout>
            <c:manualLayout>
              <c:xMode val="edge"/>
              <c:yMode val="edge"/>
              <c:x val="0.43552377756633309"/>
              <c:y val="0.911342686545625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969408"/>
        <c:crosses val="autoZero"/>
        <c:auto val="1"/>
        <c:lblAlgn val="ctr"/>
        <c:lblOffset val="100"/>
        <c:noMultiLvlLbl val="0"/>
      </c:catAx>
      <c:valAx>
        <c:axId val="21996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Plant Height, cm</a:t>
                </a:r>
              </a:p>
            </c:rich>
          </c:tx>
          <c:layout>
            <c:manualLayout>
              <c:xMode val="edge"/>
              <c:yMode val="edge"/>
              <c:x val="1.7837235228539576E-2"/>
              <c:y val="0.380695373541181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96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44340254315846"/>
          <c:y val="3.0107737821432116E-2"/>
          <c:w val="0.66970794587629257"/>
          <c:h val="4.85801066103850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58386407119937"/>
          <c:y val="0.1193058568329718"/>
          <c:w val="0.8422630213306076"/>
          <c:h val="0.721408441081524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weight'!$AX$1</c:f>
              <c:strCache>
                <c:ptCount val="1"/>
                <c:pt idx="0">
                  <c:v>Fresh weight (leaf)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000"/>
                    <a:shade val="51000"/>
                    <a:satMod val="130000"/>
                  </a:schemeClr>
                </a:gs>
                <a:gs pos="80000">
                  <a:schemeClr val="accent5">
                    <a:shade val="76000"/>
                    <a:shade val="93000"/>
                    <a:satMod val="130000"/>
                  </a:schemeClr>
                </a:gs>
                <a:gs pos="100000">
                  <a:schemeClr val="accent5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weight'!$AW$2:$AW$7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weight'!$AX$2:$AX$7</c:f>
              <c:numCache>
                <c:formatCode>0.00</c:formatCode>
                <c:ptCount val="6"/>
                <c:pt idx="0">
                  <c:v>30.256666666666664</c:v>
                </c:pt>
                <c:pt idx="1">
                  <c:v>50.076666666666661</c:v>
                </c:pt>
                <c:pt idx="2" formatCode="General">
                  <c:v>32.57</c:v>
                </c:pt>
                <c:pt idx="3">
                  <c:v>16.193333333333332</c:v>
                </c:pt>
                <c:pt idx="4" formatCode="General">
                  <c:v>3.8</c:v>
                </c:pt>
                <c:pt idx="5" formatCode="General">
                  <c:v>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8-4CF9-8CD7-967A5181A12B}"/>
            </c:ext>
          </c:extLst>
        </c:ser>
        <c:ser>
          <c:idx val="1"/>
          <c:order val="1"/>
          <c:tx>
            <c:strRef>
              <c:f>'Plant weight'!$AY$1</c:f>
              <c:strCache>
                <c:ptCount val="1"/>
                <c:pt idx="0">
                  <c:v>Dry weight (leaf)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7000"/>
                    <a:shade val="51000"/>
                    <a:satMod val="130000"/>
                  </a:schemeClr>
                </a:gs>
                <a:gs pos="80000">
                  <a:schemeClr val="accent5">
                    <a:tint val="77000"/>
                    <a:shade val="93000"/>
                    <a:satMod val="130000"/>
                  </a:schemeClr>
                </a:gs>
                <a:gs pos="100000">
                  <a:schemeClr val="accent5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weight'!$AW$2:$AW$7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weight'!$AY$2:$AY$7</c:f>
              <c:numCache>
                <c:formatCode>0.00</c:formatCode>
                <c:ptCount val="6"/>
                <c:pt idx="0">
                  <c:v>7.993333333333335</c:v>
                </c:pt>
                <c:pt idx="1">
                  <c:v>9.1366666666666685</c:v>
                </c:pt>
                <c:pt idx="2" formatCode="General">
                  <c:v>4.7399999999999993</c:v>
                </c:pt>
                <c:pt idx="3">
                  <c:v>2.0466666666666669</c:v>
                </c:pt>
                <c:pt idx="4" formatCode="General">
                  <c:v>1.0199999999999996</c:v>
                </c:pt>
                <c:pt idx="5" formatCode="General">
                  <c:v>1.7400000000000002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8-4CF9-8CD7-967A5181A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096384"/>
        <c:axId val="220418048"/>
      </c:barChart>
      <c:catAx>
        <c:axId val="220096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0655905886229271"/>
              <c:y val="0.92227042660882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418048"/>
        <c:crosses val="autoZero"/>
        <c:auto val="1"/>
        <c:lblAlgn val="ctr"/>
        <c:lblOffset val="100"/>
        <c:noMultiLvlLbl val="0"/>
      </c:catAx>
      <c:valAx>
        <c:axId val="2204180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 plant-1</a:t>
                </a:r>
              </a:p>
            </c:rich>
          </c:tx>
          <c:layout>
            <c:manualLayout>
              <c:xMode val="edge"/>
              <c:yMode val="edge"/>
              <c:x val="1.1887779362815026E-2"/>
              <c:y val="0.382045194459152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09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446909364574791"/>
          <c:y val="3.5158647468415745E-2"/>
          <c:w val="0.49818819009963272"/>
          <c:h val="6.13310673476010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59929313287351"/>
          <c:y val="0.11943539630836048"/>
          <c:w val="0.84230478741826587"/>
          <c:h val="0.721105952961091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weight'!$BB$1</c:f>
              <c:strCache>
                <c:ptCount val="1"/>
                <c:pt idx="0">
                  <c:v>Fresh weight (stem)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000"/>
                    <a:shade val="51000"/>
                    <a:satMod val="130000"/>
                  </a:schemeClr>
                </a:gs>
                <a:gs pos="80000">
                  <a:schemeClr val="accent5">
                    <a:shade val="76000"/>
                    <a:shade val="93000"/>
                    <a:satMod val="130000"/>
                  </a:schemeClr>
                </a:gs>
                <a:gs pos="100000">
                  <a:schemeClr val="accent5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weight'!$BA$2:$BA$7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weight'!$BB$2:$BB$7</c:f>
              <c:numCache>
                <c:formatCode>0.00</c:formatCode>
                <c:ptCount val="6"/>
                <c:pt idx="0" formatCode="General">
                  <c:v>171.07000000000002</c:v>
                </c:pt>
                <c:pt idx="1">
                  <c:v>169.06333333333336</c:v>
                </c:pt>
                <c:pt idx="2">
                  <c:v>107.24333333333334</c:v>
                </c:pt>
                <c:pt idx="3" formatCode="General">
                  <c:v>46.66</c:v>
                </c:pt>
                <c:pt idx="4" formatCode="General">
                  <c:v>13.42</c:v>
                </c:pt>
                <c:pt idx="5" formatCode="General">
                  <c:v>10.67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8-4950-91CA-F48897BA1B07}"/>
            </c:ext>
          </c:extLst>
        </c:ser>
        <c:ser>
          <c:idx val="1"/>
          <c:order val="1"/>
          <c:tx>
            <c:strRef>
              <c:f>'Plant weight'!$BC$1</c:f>
              <c:strCache>
                <c:ptCount val="1"/>
                <c:pt idx="0">
                  <c:v>Dry weight (stem)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7000"/>
                    <a:shade val="51000"/>
                    <a:satMod val="130000"/>
                  </a:schemeClr>
                </a:gs>
                <a:gs pos="80000">
                  <a:schemeClr val="accent5">
                    <a:tint val="77000"/>
                    <a:shade val="93000"/>
                    <a:satMod val="130000"/>
                  </a:schemeClr>
                </a:gs>
                <a:gs pos="100000">
                  <a:schemeClr val="accent5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weight'!$BA$2:$BA$7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weight'!$BC$2:$BC$7</c:f>
              <c:numCache>
                <c:formatCode>0.00</c:formatCode>
                <c:ptCount val="6"/>
                <c:pt idx="0">
                  <c:v>40.486666666666672</c:v>
                </c:pt>
                <c:pt idx="1">
                  <c:v>39.306666666666672</c:v>
                </c:pt>
                <c:pt idx="2">
                  <c:v>25.766666666666666</c:v>
                </c:pt>
                <c:pt idx="3">
                  <c:v>11.523333333333333</c:v>
                </c:pt>
                <c:pt idx="4" formatCode="General">
                  <c:v>3.8200000000000003</c:v>
                </c:pt>
                <c:pt idx="5" formatCode="General">
                  <c:v>3.0399999999999991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8-4950-91CA-F48897BA1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453120"/>
        <c:axId val="220455296"/>
      </c:barChart>
      <c:catAx>
        <c:axId val="220453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4422029718463252"/>
              <c:y val="0.91856677524429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455296"/>
        <c:crosses val="autoZero"/>
        <c:auto val="1"/>
        <c:lblAlgn val="ctr"/>
        <c:lblOffset val="100"/>
        <c:noMultiLvlLbl val="0"/>
      </c:catAx>
      <c:valAx>
        <c:axId val="2204552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 plant-1</a:t>
                </a:r>
              </a:p>
            </c:rich>
          </c:tx>
          <c:layout>
            <c:manualLayout>
              <c:xMode val="edge"/>
              <c:yMode val="edge"/>
              <c:x val="2.1197668256491786E-2"/>
              <c:y val="0.414490411825557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45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483412546404672"/>
          <c:y val="3.4111045565558384E-2"/>
          <c:w val="0.5510358783980831"/>
          <c:h val="6.13976591688253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weight'!$BI$10</c:f>
              <c:strCache>
                <c:ptCount val="1"/>
                <c:pt idx="0">
                  <c:v>Dry weight (root) 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'Plant weight'!$BH$11:$BH$16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weight'!$BI$11:$BI$16</c:f>
              <c:numCache>
                <c:formatCode>0.00</c:formatCode>
                <c:ptCount val="6"/>
                <c:pt idx="0" formatCode="General">
                  <c:v>3.5399999999999996</c:v>
                </c:pt>
                <c:pt idx="1">
                  <c:v>2.3466666666666662</c:v>
                </c:pt>
                <c:pt idx="2" formatCode="General">
                  <c:v>2.06</c:v>
                </c:pt>
                <c:pt idx="3" formatCode="General">
                  <c:v>1.03</c:v>
                </c:pt>
                <c:pt idx="4" formatCode="General">
                  <c:v>0.41000000000000014</c:v>
                </c:pt>
                <c:pt idx="5" formatCode="General">
                  <c:v>0.44999999999999929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D-463A-9F99-25E21FCEB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220493312"/>
        <c:axId val="220495232"/>
      </c:barChart>
      <c:catAx>
        <c:axId val="220493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degree</a:t>
                </a: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495232"/>
        <c:crosses val="autoZero"/>
        <c:auto val="1"/>
        <c:lblAlgn val="ctr"/>
        <c:lblOffset val="100"/>
        <c:noMultiLvlLbl val="0"/>
      </c:catAx>
      <c:valAx>
        <c:axId val="22049523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Root DW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493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weight'!$BI$20</c:f>
              <c:strCache>
                <c:ptCount val="1"/>
                <c:pt idx="0">
                  <c:v>Root TWC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weight'!$BH$21:$BH$26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weight'!$BI$21:$BI$26</c:f>
              <c:numCache>
                <c:formatCode>0.00</c:formatCode>
                <c:ptCount val="6"/>
                <c:pt idx="0">
                  <c:v>2.7758945386064036</c:v>
                </c:pt>
                <c:pt idx="1">
                  <c:v>4.8252840909090926</c:v>
                </c:pt>
                <c:pt idx="2">
                  <c:v>3.4433656957928802</c:v>
                </c:pt>
                <c:pt idx="3">
                  <c:v>3.7896440129449838</c:v>
                </c:pt>
                <c:pt idx="4">
                  <c:v>2.9756097560975592</c:v>
                </c:pt>
                <c:pt idx="5">
                  <c:v>2.9555555555555619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7-4358-B9B4-84E2E9D92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877184"/>
        <c:axId val="220879104"/>
      </c:barChart>
      <c:catAx>
        <c:axId val="220877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4123145717896373"/>
              <c:y val="0.91103202846975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879104"/>
        <c:crosses val="autoZero"/>
        <c:auto val="1"/>
        <c:lblAlgn val="ctr"/>
        <c:lblOffset val="100"/>
        <c:noMultiLvlLbl val="0"/>
      </c:catAx>
      <c:valAx>
        <c:axId val="2208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RWC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87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weight'!$BL$10</c:f>
              <c:strCache>
                <c:ptCount val="1"/>
                <c:pt idx="0">
                  <c:v>Dry weight (shoot) 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'Plant weight'!$BK$11:$BK$16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weight'!$BL$11:$BL$16</c:f>
              <c:numCache>
                <c:formatCode>0.00</c:formatCode>
                <c:ptCount val="6"/>
                <c:pt idx="0">
                  <c:v>40.486666666666672</c:v>
                </c:pt>
                <c:pt idx="1">
                  <c:v>39.306666666666672</c:v>
                </c:pt>
                <c:pt idx="2">
                  <c:v>25.766666666666666</c:v>
                </c:pt>
                <c:pt idx="3">
                  <c:v>11.523333333333333</c:v>
                </c:pt>
                <c:pt idx="4" formatCode="General">
                  <c:v>3.8200000000000003</c:v>
                </c:pt>
                <c:pt idx="5" formatCode="General">
                  <c:v>3.0399999999999991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D-4C80-B67D-1174D19F2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220896256"/>
        <c:axId val="220902528"/>
      </c:barChart>
      <c:catAx>
        <c:axId val="220896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degree</a:t>
                </a: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902528"/>
        <c:crosses val="autoZero"/>
        <c:auto val="1"/>
        <c:lblAlgn val="ctr"/>
        <c:lblOffset val="100"/>
        <c:noMultiLvlLbl val="0"/>
      </c:catAx>
      <c:valAx>
        <c:axId val="22090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Shoot DW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896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weight'!$BL$20</c:f>
              <c:strCache>
                <c:ptCount val="1"/>
                <c:pt idx="0">
                  <c:v>Shoot TWC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weight'!$BK$21:$BK$26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weight'!$BL$21:$BL$26</c:f>
              <c:numCache>
                <c:formatCode>0.00</c:formatCode>
                <c:ptCount val="6"/>
                <c:pt idx="0">
                  <c:v>3.2253416762720235</c:v>
                </c:pt>
                <c:pt idx="1">
                  <c:v>3.3011363636363638</c:v>
                </c:pt>
                <c:pt idx="2">
                  <c:v>3.1620957309184998</c:v>
                </c:pt>
                <c:pt idx="3">
                  <c:v>3.0491755857680065</c:v>
                </c:pt>
                <c:pt idx="4">
                  <c:v>2.5130890052356016</c:v>
                </c:pt>
                <c:pt idx="5">
                  <c:v>2.5098684210526327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15-4383-8E66-C3955714E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616576"/>
        <c:axId val="220626944"/>
      </c:barChart>
      <c:catAx>
        <c:axId val="220616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2136186982561896"/>
              <c:y val="0.918032786885245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626944"/>
        <c:crosses val="autoZero"/>
        <c:auto val="1"/>
        <c:lblAlgn val="ctr"/>
        <c:lblOffset val="100"/>
        <c:noMultiLvlLbl val="0"/>
      </c:catAx>
      <c:valAx>
        <c:axId val="22062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SWC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61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7263629717518"/>
          <c:y val="4.2000763650248185E-2"/>
          <c:w val="0.82306235158105234"/>
          <c:h val="0.7954847486461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weight'!$BO$10</c:f>
              <c:strCache>
                <c:ptCount val="1"/>
                <c:pt idx="0">
                  <c:v>Dry weight (leaf) 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'Plant weight'!$BN$11:$BN$16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weight'!$BO$11:$BO$16</c:f>
              <c:numCache>
                <c:formatCode>0.00</c:formatCode>
                <c:ptCount val="6"/>
                <c:pt idx="0">
                  <c:v>7.993333333333335</c:v>
                </c:pt>
                <c:pt idx="1">
                  <c:v>9.1366666666666685</c:v>
                </c:pt>
                <c:pt idx="2" formatCode="General">
                  <c:v>4.7399999999999993</c:v>
                </c:pt>
                <c:pt idx="3">
                  <c:v>2.0466666666666669</c:v>
                </c:pt>
                <c:pt idx="4" formatCode="General">
                  <c:v>1.0199999999999996</c:v>
                </c:pt>
                <c:pt idx="5" formatCode="General">
                  <c:v>1.7400000000000002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1-486D-9069-6D26008D1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220664576"/>
        <c:axId val="220666496"/>
      </c:barChart>
      <c:catAx>
        <c:axId val="220664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degree</a:t>
                </a: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4447794196958258"/>
              <c:y val="0.922317528178393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666496"/>
        <c:crosses val="autoZero"/>
        <c:auto val="1"/>
        <c:lblAlgn val="ctr"/>
        <c:lblOffset val="100"/>
        <c:noMultiLvlLbl val="0"/>
      </c:catAx>
      <c:valAx>
        <c:axId val="22066649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Leaf DW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66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weight'!$BO$20</c:f>
              <c:strCache>
                <c:ptCount val="1"/>
                <c:pt idx="0">
                  <c:v>Leaf TWC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weight'!$BN$21:$BN$26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weight'!$BO$21:$BO$26</c:f>
              <c:numCache>
                <c:formatCode>0.00</c:formatCode>
                <c:ptCount val="6"/>
                <c:pt idx="0">
                  <c:v>2.7852376980817337</c:v>
                </c:pt>
                <c:pt idx="1">
                  <c:v>4.4808464064210121</c:v>
                </c:pt>
                <c:pt idx="2">
                  <c:v>5.8713080168776379</c:v>
                </c:pt>
                <c:pt idx="3">
                  <c:v>6.9120521172638396</c:v>
                </c:pt>
                <c:pt idx="4">
                  <c:v>2.7254901960784328</c:v>
                </c:pt>
                <c:pt idx="5">
                  <c:v>2.7241379310344827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5-4293-A98A-F0FC676AE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679552"/>
        <c:axId val="220710400"/>
      </c:barChart>
      <c:catAx>
        <c:axId val="220679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 </a:t>
                </a:r>
              </a:p>
            </c:rich>
          </c:tx>
          <c:layout>
            <c:manualLayout>
              <c:xMode val="edge"/>
              <c:yMode val="edge"/>
              <c:x val="0.41463138457250365"/>
              <c:y val="0.92103204080622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710400"/>
        <c:crosses val="autoZero"/>
        <c:auto val="1"/>
        <c:lblAlgn val="ctr"/>
        <c:lblOffset val="100"/>
        <c:noMultiLvlLbl val="0"/>
      </c:catAx>
      <c:valAx>
        <c:axId val="2207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LWC </a:t>
                </a:r>
              </a:p>
            </c:rich>
          </c:tx>
          <c:layout>
            <c:manualLayout>
              <c:xMode val="edge"/>
              <c:yMode val="edge"/>
              <c:x val="1.966568338249754E-2"/>
              <c:y val="0.387933209236747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67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weight'!$CQ$1</c:f>
              <c:strCache>
                <c:ptCount val="1"/>
                <c:pt idx="0">
                  <c:v>Root/Shoot DW ratio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'Plant weight'!$CP$2:$CP$7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weight'!$CQ$2:$CQ$7</c:f>
              <c:numCache>
                <c:formatCode>0.00</c:formatCode>
                <c:ptCount val="6"/>
                <c:pt idx="0">
                  <c:v>8.7436192985344954E-2</c:v>
                </c:pt>
                <c:pt idx="1">
                  <c:v>5.9701492537313411E-2</c:v>
                </c:pt>
                <c:pt idx="2">
                  <c:v>7.9948253557567919E-2</c:v>
                </c:pt>
                <c:pt idx="3">
                  <c:v>8.9383858837142033E-2</c:v>
                </c:pt>
                <c:pt idx="4">
                  <c:v>0.1073298429319372</c:v>
                </c:pt>
                <c:pt idx="5">
                  <c:v>0.14802631578947348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E4-44ED-97FB-4F01E79D9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220756224"/>
        <c:axId val="220762496"/>
      </c:barChart>
      <c:catAx>
        <c:axId val="220756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degree</a:t>
                </a: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2265651354709194"/>
              <c:y val="0.922017690932446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762496"/>
        <c:crosses val="autoZero"/>
        <c:auto val="1"/>
        <c:lblAlgn val="ctr"/>
        <c:lblOffset val="100"/>
        <c:noMultiLvlLbl val="0"/>
      </c:catAx>
      <c:valAx>
        <c:axId val="22076249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Root/Shoot DW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756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weight'!$CT$1</c:f>
              <c:strCache>
                <c:ptCount val="1"/>
                <c:pt idx="0">
                  <c:v>Root/Shoot FW ratio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strRef>
              <c:f>'Plant weight'!$CS$2:$CS$7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weight'!$CT$2:$CT$7</c:f>
              <c:numCache>
                <c:formatCode>0.00</c:formatCode>
                <c:ptCount val="6"/>
                <c:pt idx="0">
                  <c:v>7.8135655969291312E-2</c:v>
                </c:pt>
                <c:pt idx="1">
                  <c:v>8.0857272422563534E-2</c:v>
                </c:pt>
                <c:pt idx="2">
                  <c:v>8.5351070773630064E-2</c:v>
                </c:pt>
                <c:pt idx="3">
                  <c:v>0.10572938991284471</c:v>
                </c:pt>
                <c:pt idx="4">
                  <c:v>0.12146050670640834</c:v>
                </c:pt>
                <c:pt idx="5">
                  <c:v>0.16682286785379569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E1-4231-B2FC-FE330056B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220800128"/>
        <c:axId val="220802048"/>
      </c:barChart>
      <c:catAx>
        <c:axId val="220800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degree</a:t>
                </a: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44555801018603081"/>
              <c:y val="0.918757106581189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802048"/>
        <c:crosses val="autoZero"/>
        <c:auto val="1"/>
        <c:lblAlgn val="ctr"/>
        <c:lblOffset val="100"/>
        <c:noMultiLvlLbl val="0"/>
      </c:catAx>
      <c:valAx>
        <c:axId val="22080204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Root/Shoot FW ratio</a:t>
                </a:r>
                <a:r>
                  <a:rPr lang="en-US" sz="900" b="1" i="0" u="none" strike="noStrik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8286311389759665E-2"/>
              <c:y val="0.306487908523629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800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height'!$AA$1</c:f>
              <c:strCache>
                <c:ptCount val="1"/>
                <c:pt idx="0">
                  <c:v>Mean of STI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height'!$Z$2:$Z$6</c:f>
              <c:strCache>
                <c:ptCount val="5"/>
                <c:pt idx="0">
                  <c:v>Slight</c:v>
                </c:pt>
                <c:pt idx="1">
                  <c:v>Moderate</c:v>
                </c:pt>
                <c:pt idx="2">
                  <c:v>High</c:v>
                </c:pt>
                <c:pt idx="3">
                  <c:v>Extreme1</c:v>
                </c:pt>
                <c:pt idx="4">
                  <c:v>Extreme2</c:v>
                </c:pt>
              </c:strCache>
            </c:strRef>
          </c:cat>
          <c:val>
            <c:numRef>
              <c:f>'Plant height'!$AA$2:$AA$6</c:f>
              <c:numCache>
                <c:formatCode>General</c:formatCode>
                <c:ptCount val="5"/>
                <c:pt idx="0">
                  <c:v>97.635524798154549</c:v>
                </c:pt>
                <c:pt idx="1">
                  <c:v>62.604126617967445</c:v>
                </c:pt>
                <c:pt idx="2">
                  <c:v>28.066128412149169</c:v>
                </c:pt>
                <c:pt idx="3">
                  <c:v>10.092272202998846</c:v>
                </c:pt>
                <c:pt idx="4">
                  <c:v>10.053825451749324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B-4D7F-AA3C-447A202FC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999232"/>
        <c:axId val="219706496"/>
      </c:barChart>
      <c:catAx>
        <c:axId val="21999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3808977329716631"/>
              <c:y val="0.92080329557157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706496"/>
        <c:crosses val="autoZero"/>
        <c:auto val="1"/>
        <c:lblAlgn val="ctr"/>
        <c:lblOffset val="100"/>
        <c:noMultiLvlLbl val="0"/>
      </c:catAx>
      <c:valAx>
        <c:axId val="2197064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Salt Tolerance Index,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999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'Membrane demage (MDR)'!$S$1</c:f>
              <c:strCache>
                <c:ptCount val="1"/>
                <c:pt idx="0">
                  <c:v>REL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'Membrane demage (MDR)'!$R$2:$R$7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'Membrane demage (MDR)'!$S$2:$S$7</c:f>
              <c:numCache>
                <c:formatCode>0.00</c:formatCode>
                <c:ptCount val="6"/>
                <c:pt idx="0">
                  <c:v>19.407792207792205</c:v>
                </c:pt>
                <c:pt idx="1">
                  <c:v>30.935202831472907</c:v>
                </c:pt>
                <c:pt idx="2">
                  <c:v>51.308664259927795</c:v>
                </c:pt>
                <c:pt idx="3">
                  <c:v>75.09342191114537</c:v>
                </c:pt>
                <c:pt idx="4">
                  <c:v>87.367944461213398</c:v>
                </c:pt>
                <c:pt idx="5">
                  <c:v>89.049000000000007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1-42CE-B4C5-D2C2C1BC4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246400"/>
        <c:axId val="220248320"/>
      </c:barChart>
      <c:catAx>
        <c:axId val="220246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4058805990058419"/>
              <c:y val="0.919319341137721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248320"/>
        <c:crosses val="autoZero"/>
        <c:auto val="1"/>
        <c:lblAlgn val="ctr"/>
        <c:lblOffset val="100"/>
        <c:noMultiLvlLbl val="0"/>
      </c:catAx>
      <c:valAx>
        <c:axId val="22024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</a:t>
                </a:r>
              </a:p>
            </c:rich>
          </c:tx>
          <c:layout>
            <c:manualLayout>
              <c:xMode val="edge"/>
              <c:yMode val="edge"/>
              <c:x val="2.1802325581395349E-2"/>
              <c:y val="0.41250130950459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246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height'!$AK$1</c:f>
              <c:strCache>
                <c:ptCount val="1"/>
                <c:pt idx="0">
                  <c:v>Mean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height'!$AJ$2:$AJ$6</c:f>
              <c:strCache>
                <c:ptCount val="5"/>
                <c:pt idx="0">
                  <c:v>Slight</c:v>
                </c:pt>
                <c:pt idx="1">
                  <c:v>Moderate</c:v>
                </c:pt>
                <c:pt idx="2">
                  <c:v>High</c:v>
                </c:pt>
                <c:pt idx="3">
                  <c:v>Extreme1</c:v>
                </c:pt>
                <c:pt idx="4">
                  <c:v>Extreme2</c:v>
                </c:pt>
              </c:strCache>
            </c:strRef>
          </c:cat>
          <c:val>
            <c:numRef>
              <c:f>'Plant height'!$AK$2:$AK$6</c:f>
              <c:numCache>
                <c:formatCode>General</c:formatCode>
                <c:ptCount val="5"/>
                <c:pt idx="0">
                  <c:v>9.6689976689976049</c:v>
                </c:pt>
                <c:pt idx="1">
                  <c:v>22.955710955710895</c:v>
                </c:pt>
                <c:pt idx="2">
                  <c:v>38.515151515151466</c:v>
                </c:pt>
                <c:pt idx="3">
                  <c:v>50.752913752913706</c:v>
                </c:pt>
                <c:pt idx="4">
                  <c:v>60.717948717948673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12-41D3-B4EF-1628BB053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736320"/>
        <c:axId val="219742592"/>
      </c:barChart>
      <c:catAx>
        <c:axId val="21973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2193942483808222"/>
              <c:y val="0.91909385113268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742592"/>
        <c:crosses val="autoZero"/>
        <c:auto val="1"/>
        <c:lblAlgn val="ctr"/>
        <c:lblOffset val="100"/>
        <c:noMultiLvlLbl val="0"/>
      </c:catAx>
      <c:valAx>
        <c:axId val="21974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shoot toxicity, % 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242155005705192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73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'Plant height'!$AU$1</c:f>
              <c:strCache>
                <c:ptCount val="1"/>
                <c:pt idx="0">
                  <c:v>Mean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height'!$AT$2:$AT$6</c:f>
              <c:strCache>
                <c:ptCount val="5"/>
                <c:pt idx="0">
                  <c:v>Slight</c:v>
                </c:pt>
                <c:pt idx="1">
                  <c:v>Moderate</c:v>
                </c:pt>
                <c:pt idx="2">
                  <c:v>High</c:v>
                </c:pt>
                <c:pt idx="3">
                  <c:v>Extreme1</c:v>
                </c:pt>
                <c:pt idx="4">
                  <c:v>Extreme2</c:v>
                </c:pt>
              </c:strCache>
            </c:strRef>
          </c:cat>
          <c:val>
            <c:numRef>
              <c:f>'Plant height'!$AU$2:$AU$6</c:f>
              <c:numCache>
                <c:formatCode>General</c:formatCode>
                <c:ptCount val="5"/>
                <c:pt idx="0">
                  <c:v>85.664335664335695</c:v>
                </c:pt>
                <c:pt idx="1">
                  <c:v>72.377622377622401</c:v>
                </c:pt>
                <c:pt idx="2">
                  <c:v>56.818181818181834</c:v>
                </c:pt>
                <c:pt idx="3">
                  <c:v>44.580419580419594</c:v>
                </c:pt>
                <c:pt idx="4">
                  <c:v>34.615384615384627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E-46EB-9121-EF0FE260B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781376"/>
        <c:axId val="219783552"/>
      </c:barChart>
      <c:catAx>
        <c:axId val="219781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3461244791953452"/>
              <c:y val="0.918487686437738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783552"/>
        <c:crosses val="autoZero"/>
        <c:auto val="1"/>
        <c:lblAlgn val="ctr"/>
        <c:lblOffset val="100"/>
        <c:noMultiLvlLbl val="0"/>
      </c:catAx>
      <c:valAx>
        <c:axId val="2197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Shoot length stress Index %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78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51254752028074"/>
          <c:y val="3.8965639390719092E-2"/>
          <c:w val="0.86356218883918745"/>
          <c:h val="0.80806479955149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height'!$BG$1</c:f>
              <c:strCache>
                <c:ptCount val="1"/>
                <c:pt idx="0">
                  <c:v>Mean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height'!$BF$2:$BF$6</c:f>
              <c:strCache>
                <c:ptCount val="5"/>
                <c:pt idx="0">
                  <c:v>Slight</c:v>
                </c:pt>
                <c:pt idx="1">
                  <c:v>Moderate</c:v>
                </c:pt>
                <c:pt idx="2">
                  <c:v>High</c:v>
                </c:pt>
                <c:pt idx="3">
                  <c:v>Extreme1</c:v>
                </c:pt>
                <c:pt idx="4">
                  <c:v>Extreme2</c:v>
                </c:pt>
              </c:strCache>
            </c:strRef>
          </c:cat>
          <c:val>
            <c:numRef>
              <c:f>'Plant height'!$BG$2:$BG$6</c:f>
              <c:numCache>
                <c:formatCode>General</c:formatCode>
                <c:ptCount val="5"/>
                <c:pt idx="0">
                  <c:v>98.826990900411133</c:v>
                </c:pt>
                <c:pt idx="1">
                  <c:v>62.689737144638634</c:v>
                </c:pt>
                <c:pt idx="2">
                  <c:v>27.275384345589526</c:v>
                </c:pt>
                <c:pt idx="3">
                  <c:v>7.8447419185128888</c:v>
                </c:pt>
                <c:pt idx="4">
                  <c:v>6.2372128368504116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D5-4629-B791-939C273B4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829376"/>
        <c:axId val="219831296"/>
      </c:barChart>
      <c:catAx>
        <c:axId val="219829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0883471065429061"/>
              <c:y val="0.920297555791710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831296"/>
        <c:crosses val="autoZero"/>
        <c:auto val="1"/>
        <c:lblAlgn val="ctr"/>
        <c:lblOffset val="100"/>
        <c:noMultiLvlLbl val="0"/>
      </c:catAx>
      <c:valAx>
        <c:axId val="2198312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Shoot weight stress Index, % </a:t>
                </a:r>
              </a:p>
            </c:rich>
          </c:tx>
          <c:layout>
            <c:manualLayout>
              <c:xMode val="edge"/>
              <c:yMode val="edge"/>
              <c:x val="2.5217790004585051E-2"/>
              <c:y val="0.257695644048744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82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8914153700522"/>
          <c:y val="0.11783529388742529"/>
          <c:w val="0.86018462141773566"/>
          <c:h val="0.7428541148208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CCI!$O$1</c:f>
              <c:strCache>
                <c:ptCount val="1"/>
                <c:pt idx="0">
                  <c:v>First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65000"/>
                    <a:shade val="51000"/>
                    <a:satMod val="130000"/>
                  </a:schemeClr>
                </a:gs>
                <a:gs pos="80000">
                  <a:schemeClr val="accent5">
                    <a:shade val="65000"/>
                    <a:shade val="93000"/>
                    <a:satMod val="130000"/>
                  </a:schemeClr>
                </a:gs>
                <a:gs pos="100000">
                  <a:schemeClr val="accent5">
                    <a:shade val="65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8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CCI!$N$2:$N$7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CCI!$O$2:$O$7</c:f>
              <c:numCache>
                <c:formatCode>0.0</c:formatCode>
                <c:ptCount val="6"/>
                <c:pt idx="0">
                  <c:v>29.066666666666666</c:v>
                </c:pt>
                <c:pt idx="1">
                  <c:v>29.633333333333336</c:v>
                </c:pt>
                <c:pt idx="2" formatCode="General">
                  <c:v>25.599999999999998</c:v>
                </c:pt>
                <c:pt idx="3" formatCode="General">
                  <c:v>23.099999999999998</c:v>
                </c:pt>
                <c:pt idx="4" formatCode="General">
                  <c:v>17.2</c:v>
                </c:pt>
                <c:pt idx="5">
                  <c:v>16.05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6-43F3-8D59-160D2E6E2C94}"/>
            </c:ext>
          </c:extLst>
        </c:ser>
        <c:ser>
          <c:idx val="1"/>
          <c:order val="1"/>
          <c:tx>
            <c:strRef>
              <c:f>CCI!$P$1</c:f>
              <c:strCache>
                <c:ptCount val="1"/>
                <c:pt idx="0">
                  <c:v>Second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.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CCI!$N$2:$N$7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CCI!$P$2:$P$7</c:f>
              <c:numCache>
                <c:formatCode>0.0</c:formatCode>
                <c:ptCount val="6"/>
                <c:pt idx="0">
                  <c:v>26.733333333333331</c:v>
                </c:pt>
                <c:pt idx="1">
                  <c:v>29.633333333333336</c:v>
                </c:pt>
                <c:pt idx="2">
                  <c:v>24.366666666666664</c:v>
                </c:pt>
                <c:pt idx="3">
                  <c:v>18.366666666666667</c:v>
                </c:pt>
                <c:pt idx="4" formatCode="General">
                  <c:v>15.3</c:v>
                </c:pt>
                <c:pt idx="5" formatCode="General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6-43F3-8D59-160D2E6E2C94}"/>
            </c:ext>
          </c:extLst>
        </c:ser>
        <c:ser>
          <c:idx val="2"/>
          <c:order val="2"/>
          <c:tx>
            <c:strRef>
              <c:f>CCI!$Q$1</c:f>
              <c:strCache>
                <c:ptCount val="1"/>
                <c:pt idx="0">
                  <c:v>Third measurement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65000"/>
                    <a:shade val="51000"/>
                    <a:satMod val="130000"/>
                  </a:schemeClr>
                </a:gs>
                <a:gs pos="80000">
                  <a:schemeClr val="accent5">
                    <a:tint val="65000"/>
                    <a:shade val="93000"/>
                    <a:satMod val="130000"/>
                  </a:schemeClr>
                </a:gs>
                <a:gs pos="100000">
                  <a:schemeClr val="accent5">
                    <a:tint val="65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CCI!$N$2:$N$7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CCI!$Q$2:$Q$7</c:f>
              <c:numCache>
                <c:formatCode>0.0</c:formatCode>
                <c:ptCount val="6"/>
                <c:pt idx="0">
                  <c:v>18.933333333333334</c:v>
                </c:pt>
                <c:pt idx="1">
                  <c:v>19.666666666666668</c:v>
                </c:pt>
                <c:pt idx="2">
                  <c:v>16.266666666666669</c:v>
                </c:pt>
                <c:pt idx="3">
                  <c:v>14.366666666666667</c:v>
                </c:pt>
                <c:pt idx="4" formatCode="General">
                  <c:v>12.6</c:v>
                </c:pt>
                <c:pt idx="5">
                  <c:v>11.06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6-43F3-8D59-160D2E6E2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0018560"/>
        <c:axId val="220037120"/>
      </c:barChart>
      <c:catAx>
        <c:axId val="220018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</a:t>
                </a:r>
              </a:p>
            </c:rich>
          </c:tx>
          <c:layout>
            <c:manualLayout>
              <c:xMode val="edge"/>
              <c:yMode val="edge"/>
              <c:x val="0.43490333727199604"/>
              <c:y val="0.93143735644414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037120"/>
        <c:crosses val="autoZero"/>
        <c:auto val="1"/>
        <c:lblAlgn val="ctr"/>
        <c:lblOffset val="100"/>
        <c:noMultiLvlLbl val="0"/>
      </c:catAx>
      <c:valAx>
        <c:axId val="22003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CCI</a:t>
                </a:r>
              </a:p>
            </c:rich>
          </c:tx>
          <c:layout>
            <c:manualLayout>
              <c:xMode val="edge"/>
              <c:yMode val="edge"/>
              <c:x val="1.7474919985569271E-2"/>
              <c:y val="0.48873225655739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20018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870934323625689"/>
          <c:y val="2.5585536663462263E-2"/>
          <c:w val="0.72333525301771073"/>
          <c:h val="5.27001342912285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'Stem diameter'!$I$1</c:f>
              <c:strCache>
                <c:ptCount val="1"/>
                <c:pt idx="0">
                  <c:v>Stem diameter, mm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'Stem diameter'!$H$2:$H$7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'Stem diameter'!$I$2:$I$7</c:f>
              <c:numCache>
                <c:formatCode>0.00</c:formatCode>
                <c:ptCount val="6"/>
                <c:pt idx="0">
                  <c:v>11.266666666666666</c:v>
                </c:pt>
                <c:pt idx="1">
                  <c:v>11.1</c:v>
                </c:pt>
                <c:pt idx="2">
                  <c:v>9.2666666666666675</c:v>
                </c:pt>
                <c:pt idx="3">
                  <c:v>6.7666666666666666</c:v>
                </c:pt>
                <c:pt idx="4">
                  <c:v>5.6</c:v>
                </c:pt>
                <c:pt idx="5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59-478A-86B8-27760B35D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063424"/>
        <c:axId val="219065344"/>
      </c:barChart>
      <c:catAx>
        <c:axId val="219063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4934533397917537"/>
              <c:y val="0.935474026736191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065344"/>
        <c:crosses val="autoZero"/>
        <c:auto val="1"/>
        <c:lblAlgn val="ctr"/>
        <c:lblOffset val="100"/>
        <c:noMultiLvlLbl val="0"/>
      </c:catAx>
      <c:valAx>
        <c:axId val="21906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Stem diameter, mm </a:t>
                </a:r>
              </a:p>
            </c:rich>
          </c:tx>
          <c:layout>
            <c:manualLayout>
              <c:xMode val="edge"/>
              <c:yMode val="edge"/>
              <c:x val="1.8805829807240243E-2"/>
              <c:y val="0.325902752994834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063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Scan!$J$11</c:f>
              <c:strCache>
                <c:ptCount val="1"/>
                <c:pt idx="0">
                  <c:v>LS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6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Scan!$I$12:$I$17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Scan!$J$12:$J$17</c:f>
              <c:numCache>
                <c:formatCode>0.0000</c:formatCode>
                <c:ptCount val="6"/>
                <c:pt idx="0">
                  <c:v>2.9681401470454751E-2</c:v>
                </c:pt>
                <c:pt idx="1">
                  <c:v>2.9809311427661217E-2</c:v>
                </c:pt>
                <c:pt idx="2">
                  <c:v>3.0116871441414447E-2</c:v>
                </c:pt>
                <c:pt idx="3">
                  <c:v>2.6774748219110779E-2</c:v>
                </c:pt>
                <c:pt idx="4">
                  <c:v>2.4959926723150904E-2</c:v>
                </c:pt>
                <c:pt idx="5">
                  <c:v>2.3684935279537318E-2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6-4929-94A6-90C6BF79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120000"/>
        <c:axId val="219121920"/>
      </c:barChart>
      <c:catAx>
        <c:axId val="219120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4730748698785533"/>
              <c:y val="0.918890113928702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121920"/>
        <c:crosses val="autoZero"/>
        <c:auto val="1"/>
        <c:lblAlgn val="ctr"/>
        <c:lblOffset val="100"/>
        <c:noMultiLvlLbl val="0"/>
      </c:catAx>
      <c:valAx>
        <c:axId val="21912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LS </a:t>
                </a:r>
              </a:p>
            </c:rich>
          </c:tx>
          <c:layout>
            <c:manualLayout>
              <c:xMode val="edge"/>
              <c:yMode val="edge"/>
              <c:x val="1.8832391713747645E-2"/>
              <c:y val="0.42053465753385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12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5129056177395"/>
          <c:y val="0.11506652283351312"/>
          <c:w val="0.82808300868221074"/>
          <c:h val="0.7217720357770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'Plant weight'!$AS$1</c:f>
              <c:strCache>
                <c:ptCount val="1"/>
                <c:pt idx="0">
                  <c:v>Fresh weight (root)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000"/>
                    <a:shade val="51000"/>
                    <a:satMod val="130000"/>
                  </a:schemeClr>
                </a:gs>
                <a:gs pos="80000">
                  <a:schemeClr val="accent5">
                    <a:shade val="76000"/>
                    <a:shade val="93000"/>
                    <a:satMod val="130000"/>
                  </a:schemeClr>
                </a:gs>
                <a:gs pos="100000">
                  <a:schemeClr val="accent5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7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weight'!$AR$2:$AR$7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weight'!$AS$2:$AS$7</c:f>
              <c:numCache>
                <c:formatCode>General</c:formatCode>
                <c:ptCount val="6"/>
                <c:pt idx="0" formatCode="0.00">
                  <c:v>13.366666666666667</c:v>
                </c:pt>
                <c:pt idx="1">
                  <c:v>13.670000000000002</c:v>
                </c:pt>
                <c:pt idx="2" formatCode="0.00">
                  <c:v>9.1533333333333342</c:v>
                </c:pt>
                <c:pt idx="3" formatCode="0.00">
                  <c:v>4.9333333333333336</c:v>
                </c:pt>
                <c:pt idx="4">
                  <c:v>1.63</c:v>
                </c:pt>
                <c:pt idx="5">
                  <c:v>1.78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977-93E9-91CD0C320384}"/>
            </c:ext>
          </c:extLst>
        </c:ser>
        <c:ser>
          <c:idx val="1"/>
          <c:order val="1"/>
          <c:tx>
            <c:strRef>
              <c:f>'Plant weight'!$AT$1</c:f>
              <c:strCache>
                <c:ptCount val="1"/>
                <c:pt idx="0">
                  <c:v>Dry weight (root) 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7000"/>
                    <a:shade val="51000"/>
                    <a:satMod val="130000"/>
                  </a:schemeClr>
                </a:gs>
                <a:gs pos="80000">
                  <a:schemeClr val="accent5">
                    <a:tint val="77000"/>
                    <a:shade val="93000"/>
                    <a:satMod val="130000"/>
                  </a:schemeClr>
                </a:gs>
                <a:gs pos="100000">
                  <a:schemeClr val="accent5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percentage"/>
            <c:noEndCap val="0"/>
            <c:val val="9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'Plant weight'!$AR$2:$AR$7</c:f>
              <c:strCache>
                <c:ptCount val="6"/>
                <c:pt idx="0">
                  <c:v>Non</c:v>
                </c:pt>
                <c:pt idx="1">
                  <c:v>Slight</c:v>
                </c:pt>
                <c:pt idx="2">
                  <c:v>Moderate</c:v>
                </c:pt>
                <c:pt idx="3">
                  <c:v>High</c:v>
                </c:pt>
                <c:pt idx="4">
                  <c:v>Extreme1</c:v>
                </c:pt>
                <c:pt idx="5">
                  <c:v>Extreme2</c:v>
                </c:pt>
              </c:strCache>
            </c:strRef>
          </c:cat>
          <c:val>
            <c:numRef>
              <c:f>'Plant weight'!$AT$2:$AT$7</c:f>
              <c:numCache>
                <c:formatCode>0.00</c:formatCode>
                <c:ptCount val="6"/>
                <c:pt idx="0" formatCode="General">
                  <c:v>3.5399999999999996</c:v>
                </c:pt>
                <c:pt idx="1">
                  <c:v>2.3466666666666662</c:v>
                </c:pt>
                <c:pt idx="2" formatCode="General">
                  <c:v>2.06</c:v>
                </c:pt>
                <c:pt idx="3" formatCode="General">
                  <c:v>1.03</c:v>
                </c:pt>
                <c:pt idx="4" formatCode="General">
                  <c:v>0.41000000000000014</c:v>
                </c:pt>
                <c:pt idx="5" formatCode="General">
                  <c:v>0.44999999999999929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977-93E9-91CD0C320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9243648"/>
        <c:axId val="219245568"/>
      </c:barChart>
      <c:catAx>
        <c:axId val="219243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Salinity level </a:t>
                </a:r>
              </a:p>
            </c:rich>
          </c:tx>
          <c:layout>
            <c:manualLayout>
              <c:xMode val="edge"/>
              <c:yMode val="edge"/>
              <c:x val="0.42451106167782837"/>
              <c:y val="0.92268967997123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245568"/>
        <c:crosses val="autoZero"/>
        <c:auto val="1"/>
        <c:lblAlgn val="ctr"/>
        <c:lblOffset val="100"/>
        <c:noMultiLvlLbl val="0"/>
      </c:catAx>
      <c:valAx>
        <c:axId val="2192455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 plant-1</a:t>
                </a:r>
              </a:p>
            </c:rich>
          </c:tx>
          <c:layout>
            <c:manualLayout>
              <c:xMode val="edge"/>
              <c:yMode val="edge"/>
              <c:x val="2.2421524663677129E-2"/>
              <c:y val="0.395521635847298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924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603290059594571"/>
          <c:y val="3.3171096331405227E-2"/>
          <c:w val="0.53529124442404341"/>
          <c:h val="6.10002633165999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0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6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9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948690</xdr:colOff>
      <xdr:row>16</xdr:row>
      <xdr:rowOff>0</xdr:rowOff>
    </xdr:from>
    <xdr:to>
      <xdr:col>14</xdr:col>
      <xdr:colOff>381000</xdr:colOff>
      <xdr:row>40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00C125-F0EF-3A4E-6FCF-678E964548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106680</xdr:colOff>
      <xdr:row>7</xdr:row>
      <xdr:rowOff>57150</xdr:rowOff>
    </xdr:from>
    <xdr:to>
      <xdr:col>28</xdr:col>
      <xdr:colOff>350520</xdr:colOff>
      <xdr:row>27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AAEC0A-77CC-48C5-2DEA-965466D597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327660</xdr:colOff>
      <xdr:row>8</xdr:row>
      <xdr:rowOff>11430</xdr:rowOff>
    </xdr:from>
    <xdr:to>
      <xdr:col>38</xdr:col>
      <xdr:colOff>495300</xdr:colOff>
      <xdr:row>27</xdr:row>
      <xdr:rowOff>68580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87B3FA-9976-913B-A76D-FC3A2E895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1043940</xdr:colOff>
      <xdr:row>12</xdr:row>
      <xdr:rowOff>171450</xdr:rowOff>
    </xdr:from>
    <xdr:to>
      <xdr:col>49</xdr:col>
      <xdr:colOff>83820</xdr:colOff>
      <xdr:row>32</xdr:row>
      <xdr:rowOff>175260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7FAD5A-DD42-BC0F-D503-754ECE94EE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55</xdr:col>
      <xdr:colOff>281940</xdr:colOff>
      <xdr:row>7</xdr:row>
      <xdr:rowOff>140970</xdr:rowOff>
    </xdr:from>
    <xdr:to>
      <xdr:col>63</xdr:col>
      <xdr:colOff>7620</xdr:colOff>
      <xdr:row>27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86AFF1-AB41-2342-624B-3480ED4D5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</xdr:colOff>
      <xdr:row>7</xdr:row>
      <xdr:rowOff>140970</xdr:rowOff>
    </xdr:from>
    <xdr:to>
      <xdr:col>17</xdr:col>
      <xdr:colOff>160020</xdr:colOff>
      <xdr:row>30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D79A03-56BC-BAF5-E550-F589F65B3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137160</xdr:colOff>
      <xdr:row>7</xdr:row>
      <xdr:rowOff>133350</xdr:rowOff>
    </xdr:from>
    <xdr:to>
      <xdr:col>9</xdr:col>
      <xdr:colOff>1577340</xdr:colOff>
      <xdr:row>29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272380-96B6-CF6D-BF62-4F778D4F49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</xdr:colOff>
      <xdr:row>17</xdr:row>
      <xdr:rowOff>118110</xdr:rowOff>
    </xdr:from>
    <xdr:to>
      <xdr:col>10</xdr:col>
      <xdr:colOff>609600</xdr:colOff>
      <xdr:row>36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BBC2CB-544F-FFDF-0D6C-E82CC5250D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30480</xdr:colOff>
      <xdr:row>17</xdr:row>
      <xdr:rowOff>118110</xdr:rowOff>
    </xdr:from>
    <xdr:to>
      <xdr:col>47</xdr:col>
      <xdr:colOff>769620</xdr:colOff>
      <xdr:row>35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08BA3C-DED0-DDE5-08A4-CB4B90C653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1013460</xdr:colOff>
      <xdr:row>17</xdr:row>
      <xdr:rowOff>99060</xdr:rowOff>
    </xdr:from>
    <xdr:to>
      <xdr:col>52</xdr:col>
      <xdr:colOff>701040</xdr:colOff>
      <xdr:row>35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7ACA6B-447C-455C-C2D8-53E6320F9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868680</xdr:colOff>
      <xdr:row>17</xdr:row>
      <xdr:rowOff>110490</xdr:rowOff>
    </xdr:from>
    <xdr:to>
      <xdr:col>58</xdr:col>
      <xdr:colOff>236220</xdr:colOff>
      <xdr:row>35</xdr:row>
      <xdr:rowOff>68580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ADC74BA-F633-787D-2F75-E1B1E5CC8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75</xdr:col>
      <xdr:colOff>68580</xdr:colOff>
      <xdr:row>0</xdr:row>
      <xdr:rowOff>102870</xdr:rowOff>
    </xdr:from>
    <xdr:to>
      <xdr:col>83</xdr:col>
      <xdr:colOff>251460</xdr:colOff>
      <xdr:row>16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B2B43A-49E0-4DD5-7A77-53342A0C71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83</xdr:col>
      <xdr:colOff>403860</xdr:colOff>
      <xdr:row>0</xdr:row>
      <xdr:rowOff>95250</xdr:rowOff>
    </xdr:from>
    <xdr:to>
      <xdr:col>92</xdr:col>
      <xdr:colOff>60960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C439B4B-624D-3784-2390-2F0ED0460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75</xdr:col>
      <xdr:colOff>91440</xdr:colOff>
      <xdr:row>16</xdr:row>
      <xdr:rowOff>110490</xdr:rowOff>
    </xdr:from>
    <xdr:to>
      <xdr:col>83</xdr:col>
      <xdr:colOff>259080</xdr:colOff>
      <xdr:row>34</xdr:row>
      <xdr:rowOff>60960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A4569E-DE74-7467-D6E3-5AC0BEC5E5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83</xdr:col>
      <xdr:colOff>419100</xdr:colOff>
      <xdr:row>16</xdr:row>
      <xdr:rowOff>118110</xdr:rowOff>
    </xdr:from>
    <xdr:to>
      <xdr:col>92</xdr:col>
      <xdr:colOff>68580</xdr:colOff>
      <xdr:row>34</xdr:row>
      <xdr:rowOff>22860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6F846D6-05BE-BF17-B956-558E3302A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75</xdr:col>
      <xdr:colOff>76200</xdr:colOff>
      <xdr:row>34</xdr:row>
      <xdr:rowOff>133350</xdr:rowOff>
    </xdr:from>
    <xdr:to>
      <xdr:col>83</xdr:col>
      <xdr:colOff>320040</xdr:colOff>
      <xdr:row>53</xdr:row>
      <xdr:rowOff>91440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D0DA451-0F17-319E-B2B4-9424B7400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83</xdr:col>
      <xdr:colOff>411480</xdr:colOff>
      <xdr:row>34</xdr:row>
      <xdr:rowOff>133350</xdr:rowOff>
    </xdr:from>
    <xdr:to>
      <xdr:col>92</xdr:col>
      <xdr:colOff>91440</xdr:colOff>
      <xdr:row>53</xdr:row>
      <xdr:rowOff>91440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1A191C2-09F1-95C8-156D-3D50F3658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92</xdr:col>
      <xdr:colOff>464820</xdr:colOff>
      <xdr:row>7</xdr:row>
      <xdr:rowOff>179070</xdr:rowOff>
    </xdr:from>
    <xdr:to>
      <xdr:col>97</xdr:col>
      <xdr:colOff>457200</xdr:colOff>
      <xdr:row>24</xdr:row>
      <xdr:rowOff>137160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1FD9FAD-2083-789D-2D90-48B36CDD22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92</xdr:col>
      <xdr:colOff>472440</xdr:colOff>
      <xdr:row>25</xdr:row>
      <xdr:rowOff>41910</xdr:rowOff>
    </xdr:from>
    <xdr:to>
      <xdr:col>97</xdr:col>
      <xdr:colOff>464820</xdr:colOff>
      <xdr:row>43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3851D8C-FB25-09F2-C10E-A56DEBD493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8</xdr:row>
      <xdr:rowOff>125730</xdr:rowOff>
    </xdr:from>
    <xdr:to>
      <xdr:col>20</xdr:col>
      <xdr:colOff>22860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6639DA-13FC-509C-C244-03A7D3AF9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2"/>
  <sheetViews>
    <sheetView topLeftCell="BB1" workbookViewId="0">
      <selection activeCell="BO22" sqref="BO22"/>
    </sheetView>
  </sheetViews>
  <sheetFormatPr defaultRowHeight="14.4" x14ac:dyDescent="0.3"/>
  <cols>
    <col min="1" max="1" width="17" customWidth="1"/>
    <col min="2" max="2" width="13.88671875" customWidth="1"/>
    <col min="3" max="3" width="14.5546875" customWidth="1"/>
    <col min="4" max="4" width="13.5546875" customWidth="1"/>
    <col min="5" max="5" width="17.88671875" customWidth="1"/>
    <col min="6" max="6" width="17.5546875" customWidth="1"/>
    <col min="7" max="7" width="15.5546875" customWidth="1"/>
    <col min="8" max="8" width="13.88671875" customWidth="1"/>
    <col min="9" max="9" width="14.44140625" customWidth="1"/>
    <col min="10" max="10" width="18" customWidth="1"/>
    <col min="11" max="11" width="17.44140625" customWidth="1"/>
    <col min="12" max="12" width="21.44140625" customWidth="1"/>
    <col min="13" max="13" width="24.109375" customWidth="1"/>
    <col min="14" max="14" width="22.44140625" customWidth="1"/>
    <col min="15" max="15" width="12.44140625" customWidth="1"/>
    <col min="17" max="17" width="16.6640625" customWidth="1"/>
    <col min="18" max="18" width="15.88671875" customWidth="1"/>
    <col min="19" max="19" width="16.6640625" customWidth="1"/>
    <col min="21" max="21" width="25.5546875" bestFit="1" customWidth="1"/>
    <col min="23" max="23" width="16.33203125" customWidth="1"/>
    <col min="24" max="24" width="12.5546875" customWidth="1"/>
    <col min="26" max="26" width="16.109375" customWidth="1"/>
    <col min="27" max="27" width="13.33203125" customWidth="1"/>
    <col min="30" max="30" width="17.109375" customWidth="1"/>
    <col min="31" max="31" width="13.44140625" customWidth="1"/>
    <col min="32" max="32" width="24.44140625" customWidth="1"/>
    <col min="33" max="33" width="22.5546875" customWidth="1"/>
    <col min="36" max="36" width="16.6640625" customWidth="1"/>
    <col min="40" max="40" width="16.5546875" customWidth="1"/>
    <col min="41" max="41" width="14.5546875" customWidth="1"/>
    <col min="42" max="42" width="22" customWidth="1"/>
    <col min="43" max="43" width="26.5546875" customWidth="1"/>
    <col min="44" max="44" width="12.33203125" customWidth="1"/>
    <col min="46" max="46" width="15.88671875" customWidth="1"/>
    <col min="47" max="47" width="12" customWidth="1"/>
    <col min="50" max="50" width="16.44140625" customWidth="1"/>
    <col min="51" max="51" width="21.5546875" customWidth="1"/>
    <col min="52" max="53" width="21.5546875" hidden="1" customWidth="1"/>
    <col min="54" max="54" width="21.88671875" customWidth="1"/>
    <col min="55" max="55" width="32.88671875" customWidth="1"/>
    <col min="56" max="56" width="11.109375" customWidth="1"/>
    <col min="58" max="58" width="16.5546875" customWidth="1"/>
    <col min="59" max="59" width="12.6640625" customWidth="1"/>
  </cols>
  <sheetData>
    <row r="1" spans="1:60" ht="16.8" thickBot="1" x14ac:dyDescent="0.4">
      <c r="A1" s="37"/>
      <c r="B1" s="38" t="s">
        <v>33</v>
      </c>
      <c r="C1" s="38" t="s">
        <v>34</v>
      </c>
      <c r="D1" s="38">
        <v>45237</v>
      </c>
      <c r="E1" s="37"/>
      <c r="F1" s="39" t="s">
        <v>26</v>
      </c>
      <c r="G1" s="38" t="s">
        <v>33</v>
      </c>
      <c r="H1" s="38" t="s">
        <v>34</v>
      </c>
      <c r="I1" s="38">
        <v>45237</v>
      </c>
      <c r="J1" s="22"/>
      <c r="K1" s="145"/>
      <c r="L1" s="146"/>
      <c r="M1" s="146"/>
      <c r="N1" s="146"/>
      <c r="O1" s="129"/>
      <c r="Q1" s="131" t="s">
        <v>18</v>
      </c>
      <c r="R1" s="132" t="s">
        <v>127</v>
      </c>
      <c r="S1" s="131" t="s">
        <v>18</v>
      </c>
      <c r="T1" s="133" t="s">
        <v>128</v>
      </c>
      <c r="U1" s="132" t="s">
        <v>129</v>
      </c>
      <c r="V1" s="134"/>
      <c r="W1" s="131" t="s">
        <v>18</v>
      </c>
      <c r="X1" s="135" t="s">
        <v>130</v>
      </c>
      <c r="Z1" s="50" t="s">
        <v>44</v>
      </c>
      <c r="AA1" s="135" t="s">
        <v>130</v>
      </c>
      <c r="AD1" s="131" t="s">
        <v>18</v>
      </c>
      <c r="AE1" s="135" t="s">
        <v>131</v>
      </c>
      <c r="AF1" s="135" t="s">
        <v>132</v>
      </c>
      <c r="AG1" s="135" t="s">
        <v>133</v>
      </c>
      <c r="AH1" s="135" t="s">
        <v>26</v>
      </c>
      <c r="AI1" s="134"/>
      <c r="AJ1" s="138" t="s">
        <v>44</v>
      </c>
      <c r="AK1" s="135" t="s">
        <v>26</v>
      </c>
      <c r="AL1" s="135"/>
      <c r="AN1" s="131" t="s">
        <v>18</v>
      </c>
      <c r="AO1" s="135" t="s">
        <v>131</v>
      </c>
      <c r="AP1" s="135" t="s">
        <v>133</v>
      </c>
      <c r="AQ1" s="135" t="s">
        <v>134</v>
      </c>
      <c r="AR1" s="135" t="s">
        <v>26</v>
      </c>
      <c r="AS1" s="134"/>
      <c r="AT1" s="138" t="s">
        <v>44</v>
      </c>
      <c r="AU1" s="135" t="s">
        <v>26</v>
      </c>
      <c r="AX1" s="131" t="s">
        <v>18</v>
      </c>
      <c r="AY1" s="135" t="s">
        <v>135</v>
      </c>
      <c r="AZ1" s="135"/>
      <c r="BA1" s="135"/>
      <c r="BB1" s="135" t="s">
        <v>136</v>
      </c>
      <c r="BC1" s="135" t="s">
        <v>143</v>
      </c>
      <c r="BD1" s="135" t="s">
        <v>26</v>
      </c>
      <c r="BE1" s="134"/>
      <c r="BF1" s="138" t="s">
        <v>44</v>
      </c>
      <c r="BG1" s="135" t="s">
        <v>26</v>
      </c>
    </row>
    <row r="2" spans="1:60" ht="16.2" x14ac:dyDescent="0.35">
      <c r="A2" s="40" t="s">
        <v>18</v>
      </c>
      <c r="B2" s="40" t="s">
        <v>35</v>
      </c>
      <c r="C2" s="40" t="s">
        <v>35</v>
      </c>
      <c r="D2" s="40" t="s">
        <v>35</v>
      </c>
      <c r="E2" s="37"/>
      <c r="F2" s="40" t="s">
        <v>18</v>
      </c>
      <c r="G2" s="40" t="s">
        <v>35</v>
      </c>
      <c r="H2" s="40" t="s">
        <v>35</v>
      </c>
      <c r="I2" s="40" t="s">
        <v>35</v>
      </c>
      <c r="J2" s="22"/>
      <c r="K2" s="50" t="s">
        <v>44</v>
      </c>
      <c r="L2" s="51" t="s">
        <v>94</v>
      </c>
      <c r="M2" s="51" t="s">
        <v>95</v>
      </c>
      <c r="N2" s="52" t="s">
        <v>96</v>
      </c>
      <c r="O2" s="130"/>
      <c r="Q2" s="136" t="s">
        <v>3</v>
      </c>
      <c r="R2" s="134">
        <v>52.45</v>
      </c>
      <c r="S2" s="136" t="s">
        <v>3</v>
      </c>
      <c r="T2" s="134">
        <f>R2/U2*100</f>
        <v>100.82660515186465</v>
      </c>
      <c r="U2" s="134">
        <v>52.02</v>
      </c>
      <c r="V2" s="134"/>
      <c r="W2" s="136">
        <v>1.1000000000000001</v>
      </c>
      <c r="X2" s="134">
        <f>AVERAGE(T2:T4)</f>
        <v>97.635524798154549</v>
      </c>
      <c r="Z2" s="53" t="s">
        <v>48</v>
      </c>
      <c r="AA2" s="134">
        <v>97.635524798154549</v>
      </c>
      <c r="AB2">
        <f>AA6*100/AA2</f>
        <v>10.297302618625711</v>
      </c>
      <c r="AD2" s="136" t="s">
        <v>3</v>
      </c>
      <c r="AE2" s="134">
        <v>84</v>
      </c>
      <c r="AF2" s="134">
        <f>AG2-AE2/AG2*100</f>
        <v>7.2214452214451512</v>
      </c>
      <c r="AG2" s="134">
        <v>95.3333333333333</v>
      </c>
      <c r="AH2" s="134">
        <f>AVERAGE(AF2:AF4)</f>
        <v>9.6689976689976049</v>
      </c>
      <c r="AI2" s="134"/>
      <c r="AJ2" s="139" t="s">
        <v>48</v>
      </c>
      <c r="AK2" s="134">
        <v>9.6689976689976049</v>
      </c>
      <c r="AL2" s="134">
        <f>AK2*100/AK6</f>
        <v>15.924447174447081</v>
      </c>
      <c r="AN2" s="136" t="s">
        <v>3</v>
      </c>
      <c r="AO2" s="134">
        <v>84</v>
      </c>
      <c r="AP2" s="134">
        <v>95.3333333333333</v>
      </c>
      <c r="AQ2" s="134">
        <f>AO2/AP2*100</f>
        <v>88.111888111888149</v>
      </c>
      <c r="AR2" s="134">
        <f>AVERAGE(AQ2:AQ4)</f>
        <v>85.664335664335695</v>
      </c>
      <c r="AS2" s="134"/>
      <c r="AT2" s="139" t="s">
        <v>48</v>
      </c>
      <c r="AU2" s="134">
        <v>85.664335664335695</v>
      </c>
      <c r="AV2">
        <f>AU6*100/AU2</f>
        <v>40.408163265306122</v>
      </c>
      <c r="AX2" s="136" t="s">
        <v>3</v>
      </c>
      <c r="AY2" s="134">
        <v>247.85</v>
      </c>
      <c r="AZ2" s="134"/>
      <c r="BA2" s="134"/>
      <c r="BB2" s="134">
        <v>201.32</v>
      </c>
      <c r="BC2" s="134">
        <f>AY2/BB2*100</f>
        <v>123.11245777866084</v>
      </c>
      <c r="BD2" s="134">
        <f>AVERAGE(BC2:BC4)</f>
        <v>108.85157957480628</v>
      </c>
      <c r="BE2" s="134"/>
      <c r="BF2" s="139" t="s">
        <v>48</v>
      </c>
      <c r="BG2" s="134">
        <v>98.826990900411133</v>
      </c>
      <c r="BH2">
        <f>BG6*100/BG2</f>
        <v>6.3112443068672484</v>
      </c>
    </row>
    <row r="3" spans="1:60" ht="16.2" x14ac:dyDescent="0.35">
      <c r="A3" s="41" t="s">
        <v>0</v>
      </c>
      <c r="B3" s="42">
        <v>78.5</v>
      </c>
      <c r="C3" s="42">
        <v>91</v>
      </c>
      <c r="D3" s="42">
        <v>93</v>
      </c>
      <c r="E3" s="37"/>
      <c r="F3" s="41" t="s">
        <v>27</v>
      </c>
      <c r="G3" s="60">
        <f>AVERAGE(B3:B5)</f>
        <v>80.833333333333329</v>
      </c>
      <c r="H3" s="60">
        <f>AVERAGE(C3:C5)</f>
        <v>93.333333333333329</v>
      </c>
      <c r="I3" s="60">
        <f>AVERAGE(D3:D5)</f>
        <v>95.333333333333329</v>
      </c>
      <c r="J3" s="22"/>
      <c r="K3" s="53" t="s">
        <v>47</v>
      </c>
      <c r="L3" s="60">
        <v>80.833333333333329</v>
      </c>
      <c r="M3" s="60">
        <v>93.333333333333329</v>
      </c>
      <c r="N3" s="60">
        <v>95.333333333333329</v>
      </c>
      <c r="O3" s="60"/>
      <c r="Q3" s="136" t="s">
        <v>4</v>
      </c>
      <c r="R3" s="134">
        <v>44.9</v>
      </c>
      <c r="S3" s="136" t="s">
        <v>4</v>
      </c>
      <c r="T3" s="134">
        <f>R3/U2*100</f>
        <v>86.312956555171084</v>
      </c>
      <c r="U3" s="134"/>
      <c r="V3" s="134"/>
      <c r="W3" s="136">
        <v>1.2</v>
      </c>
      <c r="X3" s="134">
        <f>AVERAGE(T5:T7)</f>
        <v>62.604126617967445</v>
      </c>
      <c r="Z3" s="53" t="s">
        <v>49</v>
      </c>
      <c r="AA3" s="134">
        <v>62.604126617967445</v>
      </c>
      <c r="AD3" s="136" t="s">
        <v>4</v>
      </c>
      <c r="AE3" s="134">
        <v>75</v>
      </c>
      <c r="AF3" s="134">
        <f>AG2-AE3/AG2*100</f>
        <v>16.662004662004605</v>
      </c>
      <c r="AG3" s="134"/>
      <c r="AH3" s="134">
        <f>AVERAGE(AF5:AF7)</f>
        <v>22.955710955710895</v>
      </c>
      <c r="AI3" s="134"/>
      <c r="AJ3" s="139" t="s">
        <v>49</v>
      </c>
      <c r="AK3" s="134">
        <v>22.955710955710895</v>
      </c>
      <c r="AL3" s="134"/>
      <c r="AN3" s="136" t="s">
        <v>4</v>
      </c>
      <c r="AO3" s="134">
        <v>75</v>
      </c>
      <c r="AP3" s="134"/>
      <c r="AQ3" s="134">
        <f>AO3/AP2*100</f>
        <v>78.671328671328695</v>
      </c>
      <c r="AR3" s="134">
        <f>AVERAGE(AQ5:AQ7)</f>
        <v>72.377622377622401</v>
      </c>
      <c r="AS3" s="134"/>
      <c r="AT3" s="139" t="s">
        <v>49</v>
      </c>
      <c r="AU3" s="134">
        <v>72.377622377622401</v>
      </c>
      <c r="AX3" s="136" t="s">
        <v>4</v>
      </c>
      <c r="AY3" s="134">
        <v>225.29999999999998</v>
      </c>
      <c r="AZ3" s="134"/>
      <c r="BA3" s="134"/>
      <c r="BB3" s="134"/>
      <c r="BC3" s="134">
        <f>AY3/BB2*100</f>
        <v>111.9113848599245</v>
      </c>
      <c r="BD3" s="134">
        <f>AVERAGE(BC5:BC7)</f>
        <v>69.448307834955955</v>
      </c>
      <c r="BE3" s="134"/>
      <c r="BF3" s="139" t="s">
        <v>49</v>
      </c>
      <c r="BG3" s="134">
        <v>62.689737144638634</v>
      </c>
    </row>
    <row r="4" spans="1:60" ht="16.2" x14ac:dyDescent="0.35">
      <c r="A4" s="41" t="s">
        <v>1</v>
      </c>
      <c r="B4" s="42">
        <v>86</v>
      </c>
      <c r="C4" s="42">
        <v>94</v>
      </c>
      <c r="D4" s="42">
        <v>96</v>
      </c>
      <c r="E4" s="37"/>
      <c r="F4" s="44" t="s">
        <v>28</v>
      </c>
      <c r="G4" s="60">
        <f>AVERAGE(B6:B8)</f>
        <v>81.666666666666671</v>
      </c>
      <c r="H4" s="60">
        <f>AVERAGE(C6:C8)</f>
        <v>91.333333333333329</v>
      </c>
      <c r="I4" s="60">
        <f>AVERAGE(D6:D8)</f>
        <v>92.333333333333329</v>
      </c>
      <c r="J4" s="22"/>
      <c r="K4" s="53" t="s">
        <v>48</v>
      </c>
      <c r="L4" s="60">
        <v>81.666666666666671</v>
      </c>
      <c r="M4" s="60">
        <v>91.333333333333329</v>
      </c>
      <c r="N4" s="60">
        <v>92.333333333333329</v>
      </c>
      <c r="O4" s="60"/>
      <c r="Q4" s="136" t="s">
        <v>5</v>
      </c>
      <c r="R4" s="134">
        <v>55.02</v>
      </c>
      <c r="S4" s="136" t="s">
        <v>5</v>
      </c>
      <c r="T4" s="134">
        <f>R4/U2*100</f>
        <v>105.76701268742792</v>
      </c>
      <c r="U4" s="134"/>
      <c r="V4" s="134"/>
      <c r="W4" s="136">
        <v>1.3</v>
      </c>
      <c r="X4" s="134">
        <f>AVERAGE(T8:T10)</f>
        <v>28.066128412149169</v>
      </c>
      <c r="Z4" s="53" t="s">
        <v>50</v>
      </c>
      <c r="AA4" s="134">
        <v>28.066128412149169</v>
      </c>
      <c r="AB4">
        <f>100-AB2</f>
        <v>89.702697381374293</v>
      </c>
      <c r="AD4" s="136" t="s">
        <v>5</v>
      </c>
      <c r="AE4" s="134">
        <v>86</v>
      </c>
      <c r="AF4" s="134">
        <f>AG2-AE4/AG2*100</f>
        <v>5.1235431235430582</v>
      </c>
      <c r="AG4" s="134"/>
      <c r="AH4" s="134">
        <f>AVERAGE(AF8:AF10)</f>
        <v>38.515151515151466</v>
      </c>
      <c r="AI4" s="134"/>
      <c r="AJ4" s="139" t="s">
        <v>50</v>
      </c>
      <c r="AK4" s="134">
        <v>38.515151515151466</v>
      </c>
      <c r="AL4" s="134">
        <f>100-AL2</f>
        <v>84.075552825552919</v>
      </c>
      <c r="AN4" s="136" t="s">
        <v>5</v>
      </c>
      <c r="AO4" s="134">
        <v>86</v>
      </c>
      <c r="AP4" s="134"/>
      <c r="AQ4" s="134">
        <f>AO4/AP2*100</f>
        <v>90.209790209790242</v>
      </c>
      <c r="AR4" s="134">
        <f>AVERAGE(AQ8:AQ10)</f>
        <v>56.818181818181834</v>
      </c>
      <c r="AS4" s="134"/>
      <c r="AT4" s="139" t="s">
        <v>50</v>
      </c>
      <c r="AU4" s="134">
        <v>56.818181818181834</v>
      </c>
      <c r="AV4">
        <f>100-AV2</f>
        <v>59.591836734693878</v>
      </c>
      <c r="AX4" s="136" t="s">
        <v>5</v>
      </c>
      <c r="AY4" s="134">
        <v>184.27</v>
      </c>
      <c r="AZ4" s="134"/>
      <c r="BA4" s="134"/>
      <c r="BB4" s="134"/>
      <c r="BC4" s="134">
        <f>AY4/BB2*100</f>
        <v>91.530896085833504</v>
      </c>
      <c r="BD4" s="134">
        <f>AVERAGE(BC8:BC10)</f>
        <v>31.220610636465992</v>
      </c>
      <c r="BE4" s="134"/>
      <c r="BF4" s="139" t="s">
        <v>50</v>
      </c>
      <c r="BG4" s="134">
        <v>27.275384345589526</v>
      </c>
      <c r="BH4">
        <f>100-BH2</f>
        <v>93.688755693132748</v>
      </c>
    </row>
    <row r="5" spans="1:60" ht="16.2" x14ac:dyDescent="0.35">
      <c r="A5" s="41" t="s">
        <v>2</v>
      </c>
      <c r="B5" s="42">
        <v>78</v>
      </c>
      <c r="C5" s="42">
        <v>95</v>
      </c>
      <c r="D5" s="42">
        <v>97</v>
      </c>
      <c r="E5" s="37"/>
      <c r="F5" s="45" t="s">
        <v>29</v>
      </c>
      <c r="G5" s="60">
        <f>AVERAGE(B9:B11)</f>
        <v>69</v>
      </c>
      <c r="H5" s="60">
        <f>AVERAGE(C9:C11)</f>
        <v>79.333333333333329</v>
      </c>
      <c r="I5" s="60">
        <f>AVERAGE(D9:D11)</f>
        <v>82</v>
      </c>
      <c r="J5" s="22"/>
      <c r="K5" s="53" t="s">
        <v>49</v>
      </c>
      <c r="L5" s="60">
        <v>69</v>
      </c>
      <c r="M5" s="60">
        <v>79.333333333333329</v>
      </c>
      <c r="N5" s="60">
        <v>82</v>
      </c>
      <c r="O5" s="60"/>
      <c r="Q5" s="136" t="s">
        <v>6</v>
      </c>
      <c r="R5" s="134">
        <v>29.84</v>
      </c>
      <c r="S5" s="136" t="s">
        <v>6</v>
      </c>
      <c r="T5" s="134">
        <f>R5/U2*100</f>
        <v>57.362552864282968</v>
      </c>
      <c r="U5" s="134"/>
      <c r="V5" s="134"/>
      <c r="W5" s="136">
        <v>1.4</v>
      </c>
      <c r="X5" s="134">
        <f>AVERAGE(T11)</f>
        <v>10.092272202998846</v>
      </c>
      <c r="Z5" s="53" t="s">
        <v>97</v>
      </c>
      <c r="AA5" s="134">
        <v>10.092272202998846</v>
      </c>
      <c r="AD5" s="136" t="s">
        <v>6</v>
      </c>
      <c r="AE5" s="134">
        <v>69.5</v>
      </c>
      <c r="AF5" s="134">
        <f>AG2-AE5/AG2*100</f>
        <v>22.431235431235365</v>
      </c>
      <c r="AG5" s="134"/>
      <c r="AH5" s="134">
        <f>AVERAGE(AF11)</f>
        <v>60.717948717948673</v>
      </c>
      <c r="AI5" s="134"/>
      <c r="AJ5" s="139" t="s">
        <v>97</v>
      </c>
      <c r="AK5" s="134">
        <v>50.752913752913706</v>
      </c>
      <c r="AL5" s="134"/>
      <c r="AN5" s="136" t="s">
        <v>6</v>
      </c>
      <c r="AO5" s="134">
        <v>69.5</v>
      </c>
      <c r="AP5" s="134"/>
      <c r="AQ5" s="134">
        <f>AO5/AP2*100</f>
        <v>72.902097902097935</v>
      </c>
      <c r="AR5" s="134">
        <v>34.615384615384627</v>
      </c>
      <c r="AS5" s="134"/>
      <c r="AT5" s="139" t="s">
        <v>97</v>
      </c>
      <c r="AU5" s="134">
        <v>44.580419580419594</v>
      </c>
      <c r="AX5" s="136" t="s">
        <v>6</v>
      </c>
      <c r="AY5" s="134">
        <v>130.56</v>
      </c>
      <c r="AZ5" s="134"/>
      <c r="BA5" s="134"/>
      <c r="BB5" s="134"/>
      <c r="BC5" s="134">
        <f>AY5/BB2*100</f>
        <v>64.851976952116047</v>
      </c>
      <c r="BD5" s="134">
        <f>AVERAGE(BC11)</f>
        <v>8.5535465924895675</v>
      </c>
      <c r="BE5" s="134"/>
      <c r="BF5" s="139" t="s">
        <v>97</v>
      </c>
      <c r="BG5" s="134">
        <v>7.8447419185128888</v>
      </c>
    </row>
    <row r="6" spans="1:60" ht="16.8" thickBot="1" x14ac:dyDescent="0.4">
      <c r="A6" s="41" t="s">
        <v>3</v>
      </c>
      <c r="B6" s="42">
        <v>84</v>
      </c>
      <c r="C6" s="42">
        <v>89</v>
      </c>
      <c r="D6" s="42">
        <v>91</v>
      </c>
      <c r="E6" s="37"/>
      <c r="F6" s="44" t="s">
        <v>30</v>
      </c>
      <c r="G6" s="60">
        <f>AVERAGE(B12:B14)</f>
        <v>54.166666666666664</v>
      </c>
      <c r="H6" s="60">
        <f>AVERAGE(C12:C14)</f>
        <v>61</v>
      </c>
      <c r="I6" s="60">
        <f>AVERAGE(D12:D14)</f>
        <v>62.666666666666664</v>
      </c>
      <c r="J6" s="22"/>
      <c r="K6" s="53" t="s">
        <v>50</v>
      </c>
      <c r="L6" s="60">
        <v>54.166666666666664</v>
      </c>
      <c r="M6" s="60">
        <v>61</v>
      </c>
      <c r="N6" s="60">
        <v>62.666666666666664</v>
      </c>
      <c r="O6" s="60"/>
      <c r="Q6" s="136" t="s">
        <v>7</v>
      </c>
      <c r="R6" s="134">
        <v>34.69</v>
      </c>
      <c r="S6" s="136" t="s">
        <v>7</v>
      </c>
      <c r="T6" s="134">
        <f>R6/U2*100</f>
        <v>66.685890042291419</v>
      </c>
      <c r="U6" s="134"/>
      <c r="V6" s="134"/>
      <c r="W6" s="136">
        <v>1.5</v>
      </c>
      <c r="X6" s="134">
        <f>AVERAGE(T12)</f>
        <v>10.053825451749324</v>
      </c>
      <c r="Z6" s="54" t="s">
        <v>98</v>
      </c>
      <c r="AA6" s="134">
        <v>10.053825451749324</v>
      </c>
      <c r="AD6" s="136" t="s">
        <v>7</v>
      </c>
      <c r="AE6" s="134">
        <v>70</v>
      </c>
      <c r="AF6" s="134">
        <f>AG2-AE6/AG2*100</f>
        <v>21.906759906759845</v>
      </c>
      <c r="AG6" s="134"/>
      <c r="AH6" s="134">
        <f>AVERAGE(AF12)</f>
        <v>50.752913752913706</v>
      </c>
      <c r="AI6" s="134"/>
      <c r="AJ6" s="140" t="s">
        <v>98</v>
      </c>
      <c r="AK6" s="134">
        <v>60.717948717948673</v>
      </c>
      <c r="AL6" s="134"/>
      <c r="AN6" s="136" t="s">
        <v>7</v>
      </c>
      <c r="AO6" s="134">
        <v>70</v>
      </c>
      <c r="AP6" s="134"/>
      <c r="AQ6" s="134">
        <f>AO6/AP2*100</f>
        <v>73.426573426573455</v>
      </c>
      <c r="AR6" s="134">
        <v>44.580419580419594</v>
      </c>
      <c r="AS6" s="134"/>
      <c r="AT6" s="140" t="s">
        <v>98</v>
      </c>
      <c r="AU6" s="134">
        <v>34.615384615384627</v>
      </c>
      <c r="AX6" s="136" t="s">
        <v>7</v>
      </c>
      <c r="AY6" s="134">
        <v>151.01</v>
      </c>
      <c r="AZ6" s="134"/>
      <c r="BA6" s="134"/>
      <c r="BB6" s="134"/>
      <c r="BC6" s="134">
        <f>AY6/BB2*100</f>
        <v>75.00993443274389</v>
      </c>
      <c r="BD6" s="134">
        <f>AVERAGE(BC12)</f>
        <v>8.5187760778859527</v>
      </c>
      <c r="BE6" s="134"/>
      <c r="BF6" s="140" t="s">
        <v>98</v>
      </c>
      <c r="BG6" s="134">
        <v>6.2372128368504116</v>
      </c>
    </row>
    <row r="7" spans="1:60" ht="16.2" x14ac:dyDescent="0.35">
      <c r="A7" s="41" t="s">
        <v>4</v>
      </c>
      <c r="B7" s="42">
        <v>75</v>
      </c>
      <c r="C7" s="42">
        <v>94</v>
      </c>
      <c r="D7" s="42">
        <v>94</v>
      </c>
      <c r="E7" s="37"/>
      <c r="F7" s="45" t="s">
        <v>31</v>
      </c>
      <c r="G7" s="99">
        <v>42.5</v>
      </c>
      <c r="H7" s="99">
        <v>50</v>
      </c>
      <c r="I7" s="99">
        <v>50.46</v>
      </c>
      <c r="J7" s="22"/>
      <c r="K7" s="53" t="s">
        <v>97</v>
      </c>
      <c r="L7" s="99">
        <v>42.5</v>
      </c>
      <c r="M7" s="99">
        <v>50</v>
      </c>
      <c r="N7" s="99">
        <v>50.46</v>
      </c>
      <c r="O7" s="99"/>
      <c r="Q7" s="136" t="s">
        <v>8</v>
      </c>
      <c r="R7" s="134">
        <v>33.17</v>
      </c>
      <c r="S7" s="136" t="s">
        <v>8</v>
      </c>
      <c r="T7" s="134">
        <f>R7/U2*100</f>
        <v>63.763936947327949</v>
      </c>
      <c r="U7" s="134"/>
      <c r="V7" s="134"/>
      <c r="W7" s="134"/>
      <c r="X7" s="134"/>
      <c r="AD7" s="136" t="s">
        <v>8</v>
      </c>
      <c r="AE7" s="134">
        <v>67.5</v>
      </c>
      <c r="AF7" s="134">
        <f>AG2-AE7/AG2*100</f>
        <v>24.529137529137472</v>
      </c>
      <c r="AG7" s="134"/>
      <c r="AH7" s="134"/>
      <c r="AI7" s="134"/>
      <c r="AJ7" s="134"/>
      <c r="AK7" s="134"/>
      <c r="AL7" s="134"/>
      <c r="AN7" s="136" t="s">
        <v>8</v>
      </c>
      <c r="AO7" s="134">
        <v>67.5</v>
      </c>
      <c r="AP7" s="134"/>
      <c r="AQ7" s="134">
        <f>AO7/AP2*100</f>
        <v>70.804195804195828</v>
      </c>
      <c r="AR7" s="134"/>
      <c r="AS7" s="134"/>
      <c r="AT7" s="134"/>
      <c r="AU7" s="134"/>
      <c r="AX7" s="136" t="s">
        <v>8</v>
      </c>
      <c r="AY7" s="134">
        <v>137.87</v>
      </c>
      <c r="AZ7" s="134"/>
      <c r="BA7" s="134"/>
      <c r="BB7" s="134"/>
      <c r="BC7" s="134">
        <f>AY7/BB2*100</f>
        <v>68.483012120007942</v>
      </c>
      <c r="BD7" s="134"/>
      <c r="BE7" s="134"/>
      <c r="BF7" s="134"/>
      <c r="BG7" s="134"/>
    </row>
    <row r="8" spans="1:60" ht="16.8" thickBot="1" x14ac:dyDescent="0.4">
      <c r="A8" s="41" t="s">
        <v>5</v>
      </c>
      <c r="B8" s="42">
        <v>86</v>
      </c>
      <c r="C8" s="42">
        <v>91</v>
      </c>
      <c r="D8" s="42">
        <v>92</v>
      </c>
      <c r="E8" s="37"/>
      <c r="F8" s="45" t="s">
        <v>32</v>
      </c>
      <c r="G8" s="99">
        <v>33</v>
      </c>
      <c r="H8" s="99">
        <v>41</v>
      </c>
      <c r="I8" s="99">
        <v>43</v>
      </c>
      <c r="J8" s="22"/>
      <c r="K8" s="54" t="s">
        <v>98</v>
      </c>
      <c r="L8" s="99">
        <v>33</v>
      </c>
      <c r="M8" s="99">
        <v>41</v>
      </c>
      <c r="N8" s="99">
        <v>43</v>
      </c>
      <c r="O8" s="99">
        <f>N6/N8</f>
        <v>1.4573643410852712</v>
      </c>
      <c r="Q8" s="136" t="s">
        <v>9</v>
      </c>
      <c r="R8" s="134">
        <v>15.410000000000002</v>
      </c>
      <c r="S8" s="136" t="s">
        <v>9</v>
      </c>
      <c r="T8" s="134">
        <f>R8/U2*100</f>
        <v>29.623221837754709</v>
      </c>
      <c r="U8" s="134"/>
      <c r="V8" s="134"/>
      <c r="W8" s="134"/>
      <c r="X8" s="134"/>
      <c r="AD8" s="136" t="s">
        <v>9</v>
      </c>
      <c r="AE8" s="134">
        <v>55</v>
      </c>
      <c r="AF8" s="134">
        <f>AG2-AE8/AG2*100</f>
        <v>37.641025641025593</v>
      </c>
      <c r="AG8" s="134"/>
      <c r="AH8" s="134"/>
      <c r="AI8" s="134"/>
      <c r="AJ8" s="134"/>
      <c r="AK8" s="134"/>
      <c r="AL8" s="134"/>
      <c r="AN8" s="136" t="s">
        <v>9</v>
      </c>
      <c r="AO8" s="134">
        <v>55</v>
      </c>
      <c r="AP8" s="134"/>
      <c r="AQ8" s="134">
        <f>AO8/AP2*100</f>
        <v>57.692307692307708</v>
      </c>
      <c r="AR8" s="134"/>
      <c r="AS8" s="134"/>
      <c r="AT8" s="134"/>
      <c r="AU8" s="134"/>
      <c r="AX8" s="136" t="s">
        <v>9</v>
      </c>
      <c r="AY8" s="134">
        <v>76.069999999999993</v>
      </c>
      <c r="AZ8" s="134"/>
      <c r="BA8" s="134"/>
      <c r="BB8" s="134"/>
      <c r="BC8" s="134">
        <f>AY8/BB2*100</f>
        <v>37.785614941386847</v>
      </c>
      <c r="BD8" s="134"/>
      <c r="BE8" s="134"/>
      <c r="BF8" s="134"/>
      <c r="BG8" s="134"/>
    </row>
    <row r="9" spans="1:60" x14ac:dyDescent="0.3">
      <c r="A9" s="41" t="s">
        <v>6</v>
      </c>
      <c r="B9" s="42">
        <v>69.5</v>
      </c>
      <c r="C9" s="42">
        <v>82</v>
      </c>
      <c r="D9" s="42">
        <v>83</v>
      </c>
      <c r="E9" s="37"/>
      <c r="F9" s="37"/>
      <c r="G9" s="37"/>
      <c r="H9" s="37"/>
      <c r="I9" s="37"/>
      <c r="J9" s="22"/>
      <c r="K9" s="22"/>
      <c r="L9" s="97"/>
      <c r="M9" s="9"/>
      <c r="N9" s="9"/>
      <c r="Q9" s="136" t="s">
        <v>10</v>
      </c>
      <c r="R9" s="134">
        <v>16.48</v>
      </c>
      <c r="S9" s="136" t="s">
        <v>10</v>
      </c>
      <c r="T9" s="134">
        <f>R9/U2*100</f>
        <v>31.680123029603998</v>
      </c>
      <c r="U9" s="134"/>
      <c r="V9" s="134"/>
      <c r="W9" s="134"/>
      <c r="X9" s="134"/>
      <c r="AD9" s="136" t="s">
        <v>10</v>
      </c>
      <c r="AE9" s="134">
        <v>56.5</v>
      </c>
      <c r="AF9" s="134">
        <f>AG2-AE9/AG2*100</f>
        <v>36.067599067599019</v>
      </c>
      <c r="AG9" s="134"/>
      <c r="AH9" s="134"/>
      <c r="AI9" s="134"/>
      <c r="AJ9" s="134"/>
      <c r="AK9" s="134"/>
      <c r="AL9" s="134"/>
      <c r="AN9" s="136" t="s">
        <v>10</v>
      </c>
      <c r="AO9" s="134">
        <v>56.5</v>
      </c>
      <c r="AP9" s="134"/>
      <c r="AQ9" s="134">
        <f>AO9/AP2*100</f>
        <v>59.265734265734281</v>
      </c>
      <c r="AR9" s="134"/>
      <c r="AS9" s="134"/>
      <c r="AT9" s="134"/>
      <c r="AU9" s="134"/>
      <c r="AX9" s="136" t="s">
        <v>10</v>
      </c>
      <c r="AY9" s="134">
        <v>63.08</v>
      </c>
      <c r="AZ9" s="134"/>
      <c r="BA9" s="134"/>
      <c r="BB9" s="134"/>
      <c r="BC9" s="134">
        <f>AY9/BB2*100</f>
        <v>31.333200874230084</v>
      </c>
      <c r="BD9" s="134"/>
      <c r="BE9" s="134"/>
      <c r="BF9" s="134"/>
      <c r="BG9" s="134"/>
    </row>
    <row r="10" spans="1:60" x14ac:dyDescent="0.3">
      <c r="A10" s="41" t="s">
        <v>7</v>
      </c>
      <c r="B10" s="42">
        <v>70</v>
      </c>
      <c r="C10" s="42">
        <v>87</v>
      </c>
      <c r="D10" s="42">
        <v>91.5</v>
      </c>
      <c r="E10" s="37"/>
      <c r="F10" s="37"/>
      <c r="G10" s="37"/>
      <c r="H10" s="37"/>
      <c r="I10" s="37"/>
      <c r="J10" s="22"/>
      <c r="K10" s="22"/>
      <c r="L10" s="22"/>
      <c r="N10">
        <f>N8*100/N3</f>
        <v>45.104895104895107</v>
      </c>
      <c r="Q10" s="136" t="s">
        <v>11</v>
      </c>
      <c r="R10" s="134">
        <v>11.91</v>
      </c>
      <c r="S10" s="136" t="s">
        <v>11</v>
      </c>
      <c r="T10" s="134">
        <f>R10/U2*100</f>
        <v>22.895040369088811</v>
      </c>
      <c r="U10" s="134"/>
      <c r="V10" s="134"/>
      <c r="W10" s="134"/>
      <c r="X10" s="134"/>
      <c r="AD10" s="136" t="s">
        <v>11</v>
      </c>
      <c r="AE10" s="134">
        <v>51</v>
      </c>
      <c r="AF10" s="134">
        <f>AG2-AE10/AG2*100</f>
        <v>41.836829836829786</v>
      </c>
      <c r="AG10" s="134"/>
      <c r="AH10" s="134"/>
      <c r="AI10" s="134"/>
      <c r="AJ10" s="134"/>
      <c r="AK10" s="134"/>
      <c r="AL10" s="134"/>
      <c r="AN10" s="136" t="s">
        <v>11</v>
      </c>
      <c r="AO10" s="134">
        <v>51</v>
      </c>
      <c r="AP10" s="134"/>
      <c r="AQ10" s="134">
        <f>AO10/AP2*100</f>
        <v>53.496503496503514</v>
      </c>
      <c r="AR10" s="134"/>
      <c r="AS10" s="134"/>
      <c r="AT10" s="134"/>
      <c r="AU10" s="134"/>
      <c r="AX10" s="136" t="s">
        <v>11</v>
      </c>
      <c r="AY10" s="134">
        <v>49.41</v>
      </c>
      <c r="AZ10" s="134"/>
      <c r="BA10" s="134"/>
      <c r="BB10" s="134"/>
      <c r="BC10" s="134">
        <f>AY10/BB2*100</f>
        <v>24.543016093781045</v>
      </c>
      <c r="BD10" s="134"/>
      <c r="BE10" s="134"/>
      <c r="BF10" s="134"/>
      <c r="BG10" s="134"/>
    </row>
    <row r="11" spans="1:60" x14ac:dyDescent="0.3">
      <c r="A11" s="41" t="s">
        <v>8</v>
      </c>
      <c r="B11" s="42">
        <v>67.5</v>
      </c>
      <c r="C11" s="42">
        <v>69</v>
      </c>
      <c r="D11" s="42">
        <v>71.5</v>
      </c>
      <c r="E11" s="37"/>
      <c r="F11" s="37"/>
      <c r="G11" s="37"/>
      <c r="H11" s="37"/>
      <c r="I11" s="37"/>
      <c r="J11" s="22"/>
      <c r="K11" s="22"/>
      <c r="L11" s="22"/>
      <c r="Q11" s="136" t="s">
        <v>14</v>
      </c>
      <c r="R11" s="134">
        <v>5.25</v>
      </c>
      <c r="S11" s="136" t="s">
        <v>14</v>
      </c>
      <c r="T11" s="134">
        <f>R11/U2*100</f>
        <v>10.092272202998846</v>
      </c>
      <c r="U11" s="134"/>
      <c r="V11" s="134"/>
      <c r="W11" s="134"/>
      <c r="X11" s="134"/>
      <c r="AD11" s="136" t="s">
        <v>14</v>
      </c>
      <c r="AE11" s="134">
        <v>33</v>
      </c>
      <c r="AF11" s="134">
        <f>AG2-AE11/AG2*100</f>
        <v>60.717948717948673</v>
      </c>
      <c r="AG11" s="134"/>
      <c r="AH11" s="134"/>
      <c r="AI11" s="134"/>
      <c r="AJ11" s="134"/>
      <c r="AK11" s="134"/>
      <c r="AL11" s="134"/>
      <c r="AN11" s="136" t="s">
        <v>14</v>
      </c>
      <c r="AO11" s="134">
        <v>33</v>
      </c>
      <c r="AP11" s="134"/>
      <c r="AQ11" s="134">
        <f>AO11/AP2*100</f>
        <v>34.615384615384627</v>
      </c>
      <c r="AR11" s="134"/>
      <c r="AS11" s="134"/>
      <c r="AT11" s="134"/>
      <c r="AU11" s="134"/>
      <c r="AX11" s="136" t="s">
        <v>14</v>
      </c>
      <c r="AY11" s="134">
        <v>17.22</v>
      </c>
      <c r="AZ11" s="134"/>
      <c r="BA11" s="134"/>
      <c r="BB11" s="134"/>
      <c r="BC11" s="134">
        <f>AY11/BB2*100</f>
        <v>8.5535465924895675</v>
      </c>
      <c r="BD11" s="134"/>
      <c r="BE11" s="134"/>
      <c r="BF11" s="134"/>
      <c r="BG11" s="134"/>
    </row>
    <row r="12" spans="1:60" x14ac:dyDescent="0.3">
      <c r="A12" s="41" t="s">
        <v>9</v>
      </c>
      <c r="B12" s="42">
        <v>55</v>
      </c>
      <c r="C12" s="42">
        <v>65</v>
      </c>
      <c r="D12" s="42">
        <v>67</v>
      </c>
      <c r="E12" s="37"/>
      <c r="F12" s="37"/>
      <c r="G12" s="37"/>
      <c r="H12" s="37"/>
      <c r="I12" s="37"/>
      <c r="J12" s="22"/>
      <c r="K12" s="22"/>
      <c r="L12" s="22"/>
      <c r="N12">
        <f>100-N10</f>
        <v>54.895104895104893</v>
      </c>
      <c r="Q12" s="136" t="s">
        <v>17</v>
      </c>
      <c r="R12" s="137">
        <v>5.2299999999999986</v>
      </c>
      <c r="S12" s="136" t="s">
        <v>17</v>
      </c>
      <c r="T12" s="134">
        <f>R12/U2*100</f>
        <v>10.053825451749324</v>
      </c>
      <c r="U12" s="134"/>
      <c r="V12" s="134"/>
      <c r="W12" s="134"/>
      <c r="X12" s="134"/>
      <c r="AD12" s="136" t="s">
        <v>17</v>
      </c>
      <c r="AE12" s="134">
        <v>42.5</v>
      </c>
      <c r="AF12" s="134">
        <f>AG2-AE12/AG2*100</f>
        <v>50.752913752913706</v>
      </c>
      <c r="AG12" s="134"/>
      <c r="AH12" s="134"/>
      <c r="AI12" s="134"/>
      <c r="AJ12" s="134"/>
      <c r="AK12" s="134"/>
      <c r="AL12" s="134"/>
      <c r="AN12" s="136" t="s">
        <v>17</v>
      </c>
      <c r="AO12" s="134">
        <v>42.5</v>
      </c>
      <c r="AP12" s="134"/>
      <c r="AQ12" s="134">
        <f>AO12/AP2*100</f>
        <v>44.580419580419594</v>
      </c>
      <c r="AR12" s="134"/>
      <c r="AS12" s="134"/>
      <c r="AT12" s="134"/>
      <c r="AU12" s="134"/>
      <c r="AX12" s="136" t="s">
        <v>17</v>
      </c>
      <c r="AY12" s="134">
        <v>17.149999999999999</v>
      </c>
      <c r="AZ12" s="134"/>
      <c r="BA12" s="134"/>
      <c r="BB12" s="134"/>
      <c r="BC12" s="134">
        <f>AY12/BB2*100</f>
        <v>8.5187760778859527</v>
      </c>
      <c r="BD12" s="134"/>
      <c r="BE12" s="134"/>
      <c r="BF12" s="134"/>
      <c r="BG12" s="134"/>
    </row>
    <row r="13" spans="1:60" x14ac:dyDescent="0.3">
      <c r="A13" s="41" t="s">
        <v>10</v>
      </c>
      <c r="B13" s="42">
        <v>56.5</v>
      </c>
      <c r="C13" s="42">
        <v>63</v>
      </c>
      <c r="D13" s="42">
        <v>65</v>
      </c>
      <c r="E13" s="37"/>
      <c r="F13" s="37"/>
      <c r="G13" s="37"/>
      <c r="H13" s="37"/>
      <c r="I13" s="37"/>
      <c r="J13" s="22"/>
      <c r="K13" s="22"/>
      <c r="L13" s="22"/>
      <c r="Q13" s="41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</row>
    <row r="14" spans="1:60" x14ac:dyDescent="0.3">
      <c r="A14" s="41" t="s">
        <v>11</v>
      </c>
      <c r="B14" s="42">
        <v>51</v>
      </c>
      <c r="C14" s="42">
        <v>55</v>
      </c>
      <c r="D14" s="42">
        <v>56</v>
      </c>
      <c r="E14" s="37"/>
      <c r="F14" s="37"/>
      <c r="G14" s="37"/>
      <c r="H14" s="37"/>
      <c r="I14" s="37"/>
      <c r="J14" s="22"/>
      <c r="K14" s="22"/>
      <c r="L14" s="22"/>
      <c r="Q14" s="41"/>
    </row>
    <row r="15" spans="1:60" x14ac:dyDescent="0.3">
      <c r="A15" s="41" t="s">
        <v>12</v>
      </c>
      <c r="B15" s="42"/>
      <c r="C15" s="42"/>
      <c r="D15" s="42"/>
      <c r="E15" s="37"/>
      <c r="F15" s="37"/>
      <c r="G15" s="37"/>
      <c r="H15" s="37"/>
      <c r="I15" s="37"/>
      <c r="J15" s="22"/>
      <c r="K15" s="22"/>
      <c r="L15" s="22"/>
      <c r="Q15" s="41"/>
    </row>
    <row r="16" spans="1:60" x14ac:dyDescent="0.3">
      <c r="A16" s="41" t="s">
        <v>13</v>
      </c>
      <c r="B16" s="48"/>
      <c r="C16" s="42"/>
      <c r="D16" s="42"/>
      <c r="E16" s="37"/>
      <c r="F16" s="37"/>
      <c r="G16" s="37"/>
      <c r="H16" s="37"/>
      <c r="I16" s="37"/>
      <c r="J16" s="22"/>
      <c r="K16" s="22"/>
      <c r="L16" s="22"/>
    </row>
    <row r="17" spans="1:12" x14ac:dyDescent="0.3">
      <c r="A17" s="41" t="s">
        <v>14</v>
      </c>
      <c r="B17" s="42">
        <v>33</v>
      </c>
      <c r="C17" s="42">
        <v>41</v>
      </c>
      <c r="D17" s="42">
        <v>43</v>
      </c>
      <c r="E17" s="37"/>
      <c r="F17" s="37"/>
      <c r="G17" s="37"/>
      <c r="H17" s="37"/>
      <c r="I17" s="37"/>
      <c r="J17" s="22"/>
      <c r="K17" s="22"/>
      <c r="L17" s="22"/>
    </row>
    <row r="18" spans="1:12" x14ac:dyDescent="0.3">
      <c r="A18" s="41" t="s">
        <v>15</v>
      </c>
      <c r="B18" s="42"/>
      <c r="C18" s="42"/>
      <c r="D18" s="42"/>
      <c r="E18" s="37"/>
      <c r="F18" s="37"/>
      <c r="G18" s="37"/>
      <c r="H18" s="37"/>
      <c r="I18" s="37"/>
      <c r="J18" s="22"/>
      <c r="K18" s="22"/>
      <c r="L18" s="22"/>
    </row>
    <row r="19" spans="1:12" x14ac:dyDescent="0.3">
      <c r="A19" s="41" t="s">
        <v>16</v>
      </c>
      <c r="B19" s="49"/>
      <c r="C19" s="42"/>
      <c r="D19" s="42"/>
      <c r="E19" s="37"/>
      <c r="F19" s="37"/>
      <c r="G19" s="37"/>
      <c r="H19" s="37"/>
      <c r="I19" s="37"/>
      <c r="J19" s="22"/>
      <c r="K19" s="22"/>
      <c r="L19" s="22"/>
    </row>
    <row r="20" spans="1:12" x14ac:dyDescent="0.3">
      <c r="A20" s="41" t="s">
        <v>17</v>
      </c>
      <c r="B20" s="42">
        <v>42.5</v>
      </c>
      <c r="C20" s="42">
        <v>50</v>
      </c>
      <c r="D20" s="42">
        <v>50.46</v>
      </c>
      <c r="E20" s="37"/>
      <c r="F20" s="37"/>
      <c r="G20" s="37"/>
      <c r="H20" s="37"/>
      <c r="I20" s="37"/>
      <c r="J20" s="22"/>
      <c r="K20" s="22"/>
      <c r="L20" s="22"/>
    </row>
    <row r="21" spans="1:12" x14ac:dyDescent="0.3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</row>
    <row r="22" spans="1:12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</row>
  </sheetData>
  <mergeCells count="1">
    <mergeCell ref="K1:N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topLeftCell="F1" workbookViewId="0">
      <selection activeCell="T21" sqref="T21"/>
    </sheetView>
  </sheetViews>
  <sheetFormatPr defaultRowHeight="14.4" x14ac:dyDescent="0.3"/>
  <cols>
    <col min="1" max="1" width="16.109375" customWidth="1"/>
    <col min="2" max="2" width="10.44140625" bestFit="1" customWidth="1"/>
    <col min="3" max="4" width="10.109375" bestFit="1" customWidth="1"/>
    <col min="8" max="8" width="16.44140625" customWidth="1"/>
    <col min="9" max="11" width="10.109375" bestFit="1" customWidth="1"/>
    <col min="14" max="14" width="17.88671875" customWidth="1"/>
    <col min="15" max="15" width="21.6640625" customWidth="1"/>
    <col min="16" max="16" width="24.109375" customWidth="1"/>
    <col min="17" max="17" width="22.88671875" customWidth="1"/>
    <col min="18" max="18" width="11.6640625" customWidth="1"/>
  </cols>
  <sheetData>
    <row r="1" spans="1:19" ht="16.2" x14ac:dyDescent="0.35">
      <c r="A1" s="37"/>
      <c r="B1" s="55">
        <v>45097</v>
      </c>
      <c r="C1" s="55">
        <v>45107</v>
      </c>
      <c r="D1" s="55">
        <v>45118</v>
      </c>
      <c r="E1" s="37"/>
      <c r="F1" s="37"/>
      <c r="G1" s="37"/>
      <c r="H1" s="56" t="s">
        <v>26</v>
      </c>
      <c r="I1" s="55">
        <v>45097</v>
      </c>
      <c r="J1" s="55">
        <v>45107</v>
      </c>
      <c r="K1" s="55">
        <v>45118</v>
      </c>
      <c r="N1" s="50" t="s">
        <v>44</v>
      </c>
      <c r="O1" s="51" t="s">
        <v>94</v>
      </c>
      <c r="P1" s="51" t="s">
        <v>95</v>
      </c>
      <c r="Q1" s="52" t="s">
        <v>96</v>
      </c>
    </row>
    <row r="2" spans="1:19" ht="16.2" x14ac:dyDescent="0.35">
      <c r="A2" s="40" t="s">
        <v>18</v>
      </c>
      <c r="B2" s="57" t="s">
        <v>25</v>
      </c>
      <c r="C2" s="57" t="s">
        <v>25</v>
      </c>
      <c r="D2" s="57" t="s">
        <v>25</v>
      </c>
      <c r="E2" s="37"/>
      <c r="F2" s="37"/>
      <c r="G2" s="37"/>
      <c r="H2" s="40" t="s">
        <v>18</v>
      </c>
      <c r="I2" s="57" t="s">
        <v>25</v>
      </c>
      <c r="J2" s="57" t="s">
        <v>25</v>
      </c>
      <c r="K2" s="57" t="s">
        <v>25</v>
      </c>
      <c r="N2" s="53" t="s">
        <v>47</v>
      </c>
      <c r="O2" s="43">
        <v>29.066666666666666</v>
      </c>
      <c r="P2" s="43">
        <v>26.733333333333331</v>
      </c>
      <c r="Q2" s="43">
        <v>18.933333333333334</v>
      </c>
      <c r="S2">
        <f>Q7*100/Q2</f>
        <v>58.41549295774648</v>
      </c>
    </row>
    <row r="3" spans="1:19" ht="16.2" x14ac:dyDescent="0.35">
      <c r="A3" s="41" t="s">
        <v>0</v>
      </c>
      <c r="B3" s="37">
        <v>27.6</v>
      </c>
      <c r="C3" s="37">
        <v>25.4</v>
      </c>
      <c r="D3" s="37">
        <v>18.3</v>
      </c>
      <c r="E3" s="37"/>
      <c r="F3" s="37"/>
      <c r="G3" s="37"/>
      <c r="H3" s="41" t="s">
        <v>27</v>
      </c>
      <c r="I3" s="43">
        <f>AVERAGE(B3:B5)</f>
        <v>29.066666666666666</v>
      </c>
      <c r="J3" s="43">
        <f>AVERAGE(C3:C5)</f>
        <v>26.733333333333331</v>
      </c>
      <c r="K3" s="43">
        <f>AVERAGE(D3:D5)</f>
        <v>18.933333333333334</v>
      </c>
      <c r="N3" s="53" t="s">
        <v>48</v>
      </c>
      <c r="O3" s="43">
        <v>29.633333333333336</v>
      </c>
      <c r="P3" s="43">
        <v>29.633333333333336</v>
      </c>
      <c r="Q3" s="43">
        <v>19.666666666666668</v>
      </c>
      <c r="S3">
        <f>100-S2</f>
        <v>41.58450704225352</v>
      </c>
    </row>
    <row r="4" spans="1:19" ht="16.2" x14ac:dyDescent="0.35">
      <c r="A4" s="41" t="s">
        <v>1</v>
      </c>
      <c r="B4" s="37">
        <v>28.5</v>
      </c>
      <c r="C4" s="37">
        <v>24.7</v>
      </c>
      <c r="D4" s="37">
        <v>17.8</v>
      </c>
      <c r="E4" s="37"/>
      <c r="F4" s="37"/>
      <c r="G4" s="37"/>
      <c r="H4" s="44" t="s">
        <v>28</v>
      </c>
      <c r="I4" s="43">
        <f>AVERAGE(B6:B8)</f>
        <v>29.633333333333336</v>
      </c>
      <c r="J4" s="43">
        <f>AVERAGE(C6:C8)</f>
        <v>29.633333333333336</v>
      </c>
      <c r="K4" s="43">
        <f>AVERAGE(D6:D8)</f>
        <v>19.666666666666668</v>
      </c>
      <c r="N4" s="53" t="s">
        <v>49</v>
      </c>
      <c r="O4" s="37">
        <v>25.599999999999998</v>
      </c>
      <c r="P4" s="43">
        <v>24.366666666666664</v>
      </c>
      <c r="Q4" s="43">
        <v>16.266666666666669</v>
      </c>
    </row>
    <row r="5" spans="1:19" ht="16.2" x14ac:dyDescent="0.35">
      <c r="A5" s="41" t="s">
        <v>2</v>
      </c>
      <c r="B5" s="37">
        <v>31.1</v>
      </c>
      <c r="C5" s="37">
        <v>30.1</v>
      </c>
      <c r="D5" s="37">
        <v>20.7</v>
      </c>
      <c r="E5" s="37"/>
      <c r="F5" s="37"/>
      <c r="G5" s="37"/>
      <c r="H5" s="45" t="s">
        <v>29</v>
      </c>
      <c r="I5" s="37">
        <f>AVERAGE(B9:B11)</f>
        <v>25.599999999999998</v>
      </c>
      <c r="J5" s="43">
        <f>AVERAGE(C9:C11)</f>
        <v>24.366666666666664</v>
      </c>
      <c r="K5" s="43">
        <f>AVERAGE(D9:D11)</f>
        <v>16.266666666666669</v>
      </c>
      <c r="N5" s="53" t="s">
        <v>50</v>
      </c>
      <c r="O5" s="37">
        <v>23.099999999999998</v>
      </c>
      <c r="P5" s="43">
        <v>18.366666666666667</v>
      </c>
      <c r="Q5" s="43">
        <v>14.366666666666667</v>
      </c>
      <c r="R5">
        <f>O6*100/O5</f>
        <v>74.458874458874462</v>
      </c>
    </row>
    <row r="6" spans="1:19" ht="16.2" x14ac:dyDescent="0.35">
      <c r="A6" s="41" t="s">
        <v>3</v>
      </c>
      <c r="B6" s="37">
        <v>27.6</v>
      </c>
      <c r="C6" s="37">
        <v>27.8</v>
      </c>
      <c r="D6" s="37">
        <v>18.600000000000001</v>
      </c>
      <c r="E6" s="37"/>
      <c r="F6" s="37"/>
      <c r="G6" s="37"/>
      <c r="H6" s="44" t="s">
        <v>30</v>
      </c>
      <c r="I6" s="37">
        <f>AVERAGE(B12:B14)</f>
        <v>23.099999999999998</v>
      </c>
      <c r="J6" s="43">
        <f>AVERAGE(C12:C14)</f>
        <v>18.366666666666667</v>
      </c>
      <c r="K6" s="43">
        <f>AVERAGE(D12:D14)</f>
        <v>14.366666666666667</v>
      </c>
      <c r="N6" s="53" t="s">
        <v>97</v>
      </c>
      <c r="O6" s="37">
        <v>17.2</v>
      </c>
      <c r="P6" s="46">
        <v>15.3</v>
      </c>
      <c r="Q6" s="37">
        <v>12.6</v>
      </c>
    </row>
    <row r="7" spans="1:19" ht="16.8" thickBot="1" x14ac:dyDescent="0.4">
      <c r="A7" s="41" t="s">
        <v>4</v>
      </c>
      <c r="B7" s="37">
        <v>29.8</v>
      </c>
      <c r="C7" s="37">
        <v>29.6</v>
      </c>
      <c r="D7" s="37">
        <v>22.2</v>
      </c>
      <c r="E7" s="37"/>
      <c r="F7" s="37"/>
      <c r="G7" s="37"/>
      <c r="H7" s="45" t="s">
        <v>31</v>
      </c>
      <c r="I7" s="37">
        <f>AVERAGE(B15:B17)</f>
        <v>17.2</v>
      </c>
      <c r="J7" s="46">
        <v>15.3</v>
      </c>
      <c r="K7" s="37">
        <v>12.6</v>
      </c>
      <c r="N7" s="54" t="s">
        <v>98</v>
      </c>
      <c r="O7" s="43">
        <v>16.05</v>
      </c>
      <c r="P7" s="37">
        <v>13</v>
      </c>
      <c r="Q7" s="47">
        <v>11.06</v>
      </c>
      <c r="R7">
        <f>100-R5</f>
        <v>25.541125541125538</v>
      </c>
    </row>
    <row r="8" spans="1:19" x14ac:dyDescent="0.3">
      <c r="A8" s="41" t="s">
        <v>5</v>
      </c>
      <c r="B8" s="37">
        <v>31.5</v>
      </c>
      <c r="C8" s="37">
        <v>31.5</v>
      </c>
      <c r="D8" s="37">
        <v>18.2</v>
      </c>
      <c r="E8" s="37"/>
      <c r="F8" s="37"/>
      <c r="G8" s="37"/>
      <c r="H8" s="45" t="s">
        <v>32</v>
      </c>
      <c r="I8" s="43">
        <f>AVERAGE(B18:B20)</f>
        <v>16.05</v>
      </c>
      <c r="J8" s="37">
        <v>13</v>
      </c>
      <c r="K8" s="47">
        <v>11.06</v>
      </c>
    </row>
    <row r="9" spans="1:19" x14ac:dyDescent="0.3">
      <c r="A9" s="41" t="s">
        <v>6</v>
      </c>
      <c r="B9" s="37">
        <v>23.9</v>
      </c>
      <c r="C9" s="37">
        <v>23.1</v>
      </c>
      <c r="D9" s="37">
        <v>17.100000000000001</v>
      </c>
      <c r="E9" s="37"/>
      <c r="F9" s="37"/>
      <c r="G9" s="37"/>
      <c r="H9" s="37"/>
      <c r="I9" s="37"/>
      <c r="J9" s="37"/>
      <c r="K9" s="37"/>
    </row>
    <row r="10" spans="1:19" x14ac:dyDescent="0.3">
      <c r="A10" s="41" t="s">
        <v>7</v>
      </c>
      <c r="B10" s="37">
        <v>25.7</v>
      </c>
      <c r="C10" s="37">
        <v>24.5</v>
      </c>
      <c r="D10" s="37">
        <v>16.3</v>
      </c>
      <c r="E10" s="37"/>
      <c r="F10" s="37"/>
      <c r="G10" s="37"/>
      <c r="H10" s="37"/>
      <c r="I10" s="37"/>
      <c r="J10" s="37"/>
      <c r="K10" s="37"/>
    </row>
    <row r="11" spans="1:19" x14ac:dyDescent="0.3">
      <c r="A11" s="41" t="s">
        <v>8</v>
      </c>
      <c r="B11" s="37">
        <v>27.2</v>
      </c>
      <c r="C11" s="37">
        <v>25.5</v>
      </c>
      <c r="D11" s="37">
        <v>15.4</v>
      </c>
      <c r="E11" s="37"/>
      <c r="F11" s="37"/>
      <c r="G11" s="37"/>
      <c r="H11" s="37"/>
      <c r="I11" s="37"/>
      <c r="J11" s="37"/>
      <c r="K11" s="37"/>
    </row>
    <row r="12" spans="1:19" x14ac:dyDescent="0.3">
      <c r="A12" s="41" t="s">
        <v>9</v>
      </c>
      <c r="B12" s="37">
        <v>22.4</v>
      </c>
      <c r="C12" s="37">
        <v>18.5</v>
      </c>
      <c r="D12" s="37">
        <v>16.3</v>
      </c>
      <c r="E12" s="37"/>
      <c r="F12" s="37"/>
      <c r="G12" s="37"/>
      <c r="H12" s="37"/>
      <c r="I12" s="37"/>
      <c r="J12" s="37"/>
      <c r="K12" s="37"/>
    </row>
    <row r="13" spans="1:19" x14ac:dyDescent="0.3">
      <c r="A13" s="41" t="s">
        <v>10</v>
      </c>
      <c r="B13" s="37">
        <v>24.2</v>
      </c>
      <c r="C13" s="37">
        <v>21.5</v>
      </c>
      <c r="D13" s="37">
        <v>14.4</v>
      </c>
      <c r="E13" s="37"/>
      <c r="F13" s="37"/>
      <c r="G13" s="37"/>
      <c r="H13" s="37"/>
      <c r="I13" s="37"/>
      <c r="J13" s="37"/>
      <c r="K13" s="37"/>
    </row>
    <row r="14" spans="1:19" x14ac:dyDescent="0.3">
      <c r="A14" s="41" t="s">
        <v>11</v>
      </c>
      <c r="B14" s="37">
        <v>22.7</v>
      </c>
      <c r="C14" s="37">
        <v>15.1</v>
      </c>
      <c r="D14" s="37">
        <v>12.4</v>
      </c>
      <c r="E14" s="37"/>
      <c r="F14" s="37"/>
      <c r="G14" s="37"/>
      <c r="H14" s="37"/>
      <c r="I14" s="37"/>
      <c r="J14" s="37"/>
      <c r="K14" s="37"/>
    </row>
    <row r="15" spans="1:19" x14ac:dyDescent="0.3">
      <c r="A15" s="41" t="s">
        <v>12</v>
      </c>
      <c r="B15" s="37">
        <v>19.7</v>
      </c>
      <c r="C15" s="37"/>
      <c r="D15" s="37"/>
      <c r="E15" s="37"/>
      <c r="F15" s="37"/>
      <c r="G15" s="37"/>
      <c r="H15" s="37"/>
      <c r="I15" s="37"/>
      <c r="J15" s="37"/>
      <c r="K15" s="37"/>
    </row>
    <row r="16" spans="1:19" x14ac:dyDescent="0.3">
      <c r="A16" s="41" t="s">
        <v>13</v>
      </c>
      <c r="B16" s="37">
        <v>14.7</v>
      </c>
      <c r="C16" s="37"/>
      <c r="D16" s="37"/>
      <c r="E16" s="37"/>
      <c r="F16" s="37"/>
      <c r="G16" s="37"/>
      <c r="H16" s="37"/>
      <c r="I16" s="37"/>
      <c r="J16" s="37"/>
      <c r="K16" s="37"/>
    </row>
    <row r="17" spans="1:11" x14ac:dyDescent="0.3">
      <c r="A17" s="41" t="s">
        <v>14</v>
      </c>
      <c r="B17" s="37"/>
      <c r="C17" s="37">
        <v>19.3</v>
      </c>
      <c r="D17" s="37">
        <v>12.6</v>
      </c>
      <c r="E17" s="37"/>
      <c r="F17" s="37"/>
      <c r="G17" s="37"/>
      <c r="H17" s="37"/>
      <c r="I17" s="37"/>
      <c r="J17" s="37"/>
      <c r="K17" s="37"/>
    </row>
    <row r="18" spans="1:11" x14ac:dyDescent="0.3">
      <c r="A18" s="41" t="s">
        <v>15</v>
      </c>
      <c r="B18" s="37"/>
      <c r="C18" s="37">
        <v>13</v>
      </c>
      <c r="D18" s="37"/>
      <c r="E18" s="37"/>
      <c r="F18" s="37"/>
      <c r="G18" s="37"/>
      <c r="H18" s="37"/>
      <c r="I18" s="37"/>
      <c r="J18" s="37"/>
      <c r="K18" s="37"/>
    </row>
    <row r="19" spans="1:11" x14ac:dyDescent="0.3">
      <c r="A19" s="41" t="s">
        <v>16</v>
      </c>
      <c r="B19" s="37">
        <v>12.9</v>
      </c>
      <c r="C19" s="37"/>
      <c r="D19" s="37"/>
      <c r="E19" s="37"/>
      <c r="F19" s="37"/>
      <c r="G19" s="37"/>
      <c r="H19" s="37"/>
      <c r="I19" s="37"/>
      <c r="J19" s="37"/>
      <c r="K19" s="37"/>
    </row>
    <row r="20" spans="1:11" x14ac:dyDescent="0.3">
      <c r="A20" s="41" t="s">
        <v>17</v>
      </c>
      <c r="B20" s="37">
        <v>19.2</v>
      </c>
      <c r="C20" s="37"/>
      <c r="D20" s="37"/>
      <c r="E20" s="37"/>
      <c r="F20" s="37"/>
      <c r="G20" s="37"/>
      <c r="H20" s="37"/>
      <c r="I20" s="37"/>
      <c r="J20" s="37"/>
      <c r="K20" s="37"/>
    </row>
    <row r="21" spans="1:11" x14ac:dyDescent="0.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workbookViewId="0">
      <selection activeCell="K18" sqref="K18"/>
    </sheetView>
  </sheetViews>
  <sheetFormatPr defaultRowHeight="14.4" x14ac:dyDescent="0.3"/>
  <cols>
    <col min="1" max="1" width="18.109375" customWidth="1"/>
    <col min="2" max="2" width="21" customWidth="1"/>
    <col min="4" max="4" width="18.33203125" customWidth="1"/>
    <col min="5" max="5" width="21.6640625" customWidth="1"/>
    <col min="8" max="8" width="18.44140625" customWidth="1"/>
    <col min="9" max="9" width="21.5546875" customWidth="1"/>
    <col min="10" max="10" width="24.6640625" customWidth="1"/>
    <col min="11" max="11" width="24.109375" customWidth="1"/>
  </cols>
  <sheetData>
    <row r="1" spans="1:11" ht="16.2" x14ac:dyDescent="0.35">
      <c r="A1" s="40" t="s">
        <v>18</v>
      </c>
      <c r="B1" s="58" t="s">
        <v>36</v>
      </c>
      <c r="C1" s="37"/>
      <c r="D1" s="147" t="s">
        <v>26</v>
      </c>
      <c r="E1" s="147"/>
      <c r="H1" s="50" t="s">
        <v>44</v>
      </c>
      <c r="I1" s="59" t="s">
        <v>36</v>
      </c>
      <c r="J1" s="33"/>
      <c r="K1" s="34"/>
    </row>
    <row r="2" spans="1:11" ht="16.2" x14ac:dyDescent="0.35">
      <c r="A2" s="41" t="s">
        <v>0</v>
      </c>
      <c r="B2" s="42">
        <v>11.3</v>
      </c>
      <c r="C2" s="37"/>
      <c r="D2" s="57" t="s">
        <v>18</v>
      </c>
      <c r="E2" s="59" t="s">
        <v>36</v>
      </c>
      <c r="H2" s="53" t="s">
        <v>47</v>
      </c>
      <c r="I2" s="60">
        <v>11.266666666666666</v>
      </c>
      <c r="J2">
        <f>I7*100/I2</f>
        <v>45.26627218934911</v>
      </c>
    </row>
    <row r="3" spans="1:11" ht="16.2" x14ac:dyDescent="0.35">
      <c r="A3" s="41" t="s">
        <v>1</v>
      </c>
      <c r="B3" s="42">
        <v>11</v>
      </c>
      <c r="C3" s="37"/>
      <c r="D3" s="41" t="s">
        <v>27</v>
      </c>
      <c r="E3" s="60">
        <f>AVERAGE(B2:B4)</f>
        <v>11.266666666666666</v>
      </c>
      <c r="H3" s="53" t="s">
        <v>48</v>
      </c>
      <c r="I3" s="60">
        <v>11.1</v>
      </c>
    </row>
    <row r="4" spans="1:11" ht="16.2" x14ac:dyDescent="0.35">
      <c r="A4" s="41" t="s">
        <v>2</v>
      </c>
      <c r="B4" s="42">
        <v>11.5</v>
      </c>
      <c r="C4" s="37"/>
      <c r="D4" s="44" t="s">
        <v>28</v>
      </c>
      <c r="E4" s="37">
        <f>AVERAGE(B5:B7)</f>
        <v>11.1</v>
      </c>
      <c r="H4" s="53" t="s">
        <v>49</v>
      </c>
      <c r="I4" s="60">
        <v>9.2666666666666675</v>
      </c>
      <c r="J4">
        <f>100-J2</f>
        <v>54.73372781065089</v>
      </c>
    </row>
    <row r="5" spans="1:11" ht="16.2" x14ac:dyDescent="0.35">
      <c r="A5" s="41" t="s">
        <v>3</v>
      </c>
      <c r="B5" s="42">
        <v>11</v>
      </c>
      <c r="C5" s="37"/>
      <c r="D5" s="45" t="s">
        <v>29</v>
      </c>
      <c r="E5" s="60">
        <f>AVERAGE(B8:B10)</f>
        <v>9.2666666666666675</v>
      </c>
      <c r="H5" s="53" t="s">
        <v>50</v>
      </c>
      <c r="I5" s="60">
        <v>6.7666666666666666</v>
      </c>
    </row>
    <row r="6" spans="1:11" ht="16.2" x14ac:dyDescent="0.35">
      <c r="A6" s="41" t="s">
        <v>4</v>
      </c>
      <c r="B6" s="42">
        <v>11.1</v>
      </c>
      <c r="C6" s="37"/>
      <c r="D6" s="44" t="s">
        <v>30</v>
      </c>
      <c r="E6" s="60">
        <f>AVERAGE(B11:B13)</f>
        <v>6.7666666666666666</v>
      </c>
      <c r="H6" s="53" t="s">
        <v>97</v>
      </c>
      <c r="I6" s="99">
        <v>5.6</v>
      </c>
    </row>
    <row r="7" spans="1:11" ht="16.8" thickBot="1" x14ac:dyDescent="0.4">
      <c r="A7" s="41" t="s">
        <v>5</v>
      </c>
      <c r="B7" s="42">
        <v>11.2</v>
      </c>
      <c r="C7" s="37"/>
      <c r="D7" s="45" t="s">
        <v>31</v>
      </c>
      <c r="E7" s="46">
        <v>5.6</v>
      </c>
      <c r="H7" s="54" t="s">
        <v>98</v>
      </c>
      <c r="I7" s="99">
        <v>5.0999999999999996</v>
      </c>
    </row>
    <row r="8" spans="1:11" x14ac:dyDescent="0.3">
      <c r="A8" s="41" t="s">
        <v>6</v>
      </c>
      <c r="B8" s="42">
        <v>8.5</v>
      </c>
      <c r="C8" s="37"/>
      <c r="D8" s="45" t="s">
        <v>32</v>
      </c>
      <c r="E8" s="46">
        <v>5.0999999999999996</v>
      </c>
    </row>
    <row r="9" spans="1:11" x14ac:dyDescent="0.3">
      <c r="A9" s="41" t="s">
        <v>7</v>
      </c>
      <c r="B9" s="42">
        <v>10.3</v>
      </c>
      <c r="C9" s="37"/>
      <c r="D9" s="37"/>
      <c r="E9" s="37"/>
    </row>
    <row r="10" spans="1:11" x14ac:dyDescent="0.3">
      <c r="A10" s="41" t="s">
        <v>8</v>
      </c>
      <c r="B10" s="42">
        <v>9</v>
      </c>
      <c r="C10" s="37"/>
      <c r="D10" s="37"/>
      <c r="E10" s="37"/>
    </row>
    <row r="11" spans="1:11" x14ac:dyDescent="0.3">
      <c r="A11" s="41" t="s">
        <v>9</v>
      </c>
      <c r="B11" s="42">
        <v>7.2</v>
      </c>
      <c r="C11" s="37"/>
      <c r="D11" s="37"/>
      <c r="E11" s="37"/>
    </row>
    <row r="12" spans="1:11" x14ac:dyDescent="0.3">
      <c r="A12" s="41" t="s">
        <v>10</v>
      </c>
      <c r="B12" s="42">
        <v>6.4</v>
      </c>
      <c r="C12" s="37"/>
      <c r="D12" s="37"/>
      <c r="E12" s="37"/>
    </row>
    <row r="13" spans="1:11" x14ac:dyDescent="0.3">
      <c r="A13" s="41" t="s">
        <v>11</v>
      </c>
      <c r="B13" s="42">
        <v>6.7</v>
      </c>
      <c r="C13" s="37"/>
      <c r="D13" s="37"/>
      <c r="E13" s="37"/>
    </row>
    <row r="14" spans="1:11" x14ac:dyDescent="0.3">
      <c r="A14" s="41" t="s">
        <v>12</v>
      </c>
      <c r="B14" s="42"/>
      <c r="C14" s="37"/>
      <c r="D14" s="37"/>
      <c r="E14" s="37"/>
    </row>
    <row r="15" spans="1:11" x14ac:dyDescent="0.3">
      <c r="A15" s="41" t="s">
        <v>13</v>
      </c>
      <c r="B15" s="42"/>
      <c r="C15" s="37"/>
      <c r="D15" s="37"/>
      <c r="E15" s="37"/>
    </row>
    <row r="16" spans="1:11" x14ac:dyDescent="0.3">
      <c r="A16" s="41" t="s">
        <v>14</v>
      </c>
      <c r="B16" s="42">
        <v>5.0999999999999996</v>
      </c>
      <c r="C16" s="37"/>
      <c r="D16" s="37"/>
      <c r="E16" s="37"/>
    </row>
    <row r="17" spans="1:5" x14ac:dyDescent="0.3">
      <c r="A17" s="41" t="s">
        <v>15</v>
      </c>
      <c r="B17" s="49">
        <v>5.6</v>
      </c>
      <c r="C17" s="37"/>
      <c r="D17" s="37"/>
      <c r="E17" s="37"/>
    </row>
    <row r="18" spans="1:5" x14ac:dyDescent="0.3">
      <c r="A18" s="41" t="s">
        <v>16</v>
      </c>
      <c r="B18" s="42"/>
      <c r="C18" s="37"/>
      <c r="D18" s="37"/>
      <c r="E18" s="37"/>
    </row>
    <row r="19" spans="1:5" x14ac:dyDescent="0.3">
      <c r="A19" s="41" t="s">
        <v>17</v>
      </c>
      <c r="B19" s="42"/>
      <c r="C19" s="37"/>
      <c r="D19" s="37"/>
      <c r="E19" s="37"/>
    </row>
  </sheetData>
  <mergeCells count="1">
    <mergeCell ref="D1:E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"/>
  <sheetViews>
    <sheetView workbookViewId="0">
      <selection activeCell="L31" sqref="L31"/>
    </sheetView>
  </sheetViews>
  <sheetFormatPr defaultRowHeight="14.4" x14ac:dyDescent="0.3"/>
  <cols>
    <col min="1" max="1" width="16.5546875" bestFit="1" customWidth="1"/>
    <col min="2" max="2" width="17.5546875" customWidth="1"/>
    <col min="3" max="3" width="17.88671875" bestFit="1" customWidth="1"/>
    <col min="4" max="4" width="19.44140625" customWidth="1"/>
    <col min="7" max="7" width="16.88671875" customWidth="1"/>
    <col min="9" max="9" width="16.88671875" customWidth="1"/>
    <col min="10" max="10" width="18.5546875" customWidth="1"/>
    <col min="11" max="11" width="19.109375" customWidth="1"/>
  </cols>
  <sheetData>
    <row r="1" spans="1:12" ht="15.6" x14ac:dyDescent="0.3">
      <c r="A1" s="39" t="s">
        <v>37</v>
      </c>
      <c r="B1" s="57" t="s">
        <v>38</v>
      </c>
      <c r="C1" s="61" t="s">
        <v>39</v>
      </c>
      <c r="D1" s="61" t="s">
        <v>40</v>
      </c>
      <c r="G1" s="70" t="s">
        <v>41</v>
      </c>
      <c r="H1" s="37"/>
      <c r="I1" s="148" t="s">
        <v>26</v>
      </c>
      <c r="J1" s="148"/>
      <c r="K1" s="148"/>
      <c r="L1" s="148"/>
    </row>
    <row r="2" spans="1:12" x14ac:dyDescent="0.3">
      <c r="A2" s="152" t="s">
        <v>0</v>
      </c>
      <c r="B2" s="62">
        <v>1</v>
      </c>
      <c r="C2" s="62">
        <v>0.85</v>
      </c>
      <c r="D2" s="63">
        <v>27.29</v>
      </c>
      <c r="G2" s="37"/>
      <c r="H2" s="37"/>
      <c r="I2" s="39" t="s">
        <v>37</v>
      </c>
      <c r="J2" s="61" t="s">
        <v>42</v>
      </c>
      <c r="K2" s="61" t="s">
        <v>40</v>
      </c>
      <c r="L2" s="71" t="s">
        <v>43</v>
      </c>
    </row>
    <row r="3" spans="1:12" x14ac:dyDescent="0.3">
      <c r="A3" s="153"/>
      <c r="B3" s="42">
        <v>2</v>
      </c>
      <c r="C3" s="42">
        <v>0.63</v>
      </c>
      <c r="D3" s="64">
        <v>21.09</v>
      </c>
      <c r="G3" s="37"/>
      <c r="H3" s="37"/>
      <c r="I3" s="44" t="s">
        <v>27</v>
      </c>
      <c r="J3" s="37">
        <f>AVERAGE(C2:C10)</f>
        <v>0.72666666666666668</v>
      </c>
      <c r="K3" s="37">
        <f>AVERAGE(D2:D10)</f>
        <v>24.482222222222223</v>
      </c>
      <c r="L3" s="37">
        <f t="shared" ref="L3:L7" si="0">J3/K3</f>
        <v>2.9681401470454751E-2</v>
      </c>
    </row>
    <row r="4" spans="1:12" x14ac:dyDescent="0.3">
      <c r="A4" s="153"/>
      <c r="B4" s="42">
        <v>3</v>
      </c>
      <c r="C4" s="42">
        <v>0.56999999999999995</v>
      </c>
      <c r="D4" s="64">
        <v>18.11</v>
      </c>
      <c r="G4" s="37"/>
      <c r="H4" s="37"/>
      <c r="I4" s="44" t="s">
        <v>28</v>
      </c>
      <c r="J4" s="37">
        <f>AVERAGE(C11:C19)</f>
        <v>0.72777777777777775</v>
      </c>
      <c r="K4" s="37">
        <f>AVERAGE(D11:D19)</f>
        <v>24.414444444444445</v>
      </c>
      <c r="L4" s="37">
        <f t="shared" si="0"/>
        <v>2.9809311427661217E-2</v>
      </c>
    </row>
    <row r="5" spans="1:12" x14ac:dyDescent="0.3">
      <c r="A5" s="152" t="s">
        <v>1</v>
      </c>
      <c r="B5" s="62">
        <v>1</v>
      </c>
      <c r="C5" s="62">
        <v>0.81</v>
      </c>
      <c r="D5" s="63">
        <v>29.32</v>
      </c>
      <c r="G5" s="37"/>
      <c r="H5" s="37"/>
      <c r="I5" s="45" t="s">
        <v>29</v>
      </c>
      <c r="J5" s="37">
        <f>AVERAGE(C20:C28)</f>
        <v>0.67</v>
      </c>
      <c r="K5" s="37">
        <f>AVERAGE(D20:D28)</f>
        <v>22.246666666666666</v>
      </c>
      <c r="L5" s="46">
        <f t="shared" si="0"/>
        <v>3.0116871441414447E-2</v>
      </c>
    </row>
    <row r="6" spans="1:12" x14ac:dyDescent="0.3">
      <c r="A6" s="153"/>
      <c r="B6" s="42">
        <v>2</v>
      </c>
      <c r="C6" s="42">
        <v>0.7</v>
      </c>
      <c r="D6" s="64">
        <v>24.75</v>
      </c>
      <c r="G6" s="37"/>
      <c r="H6" s="37"/>
      <c r="I6" s="44" t="s">
        <v>30</v>
      </c>
      <c r="J6" s="37">
        <f>AVERAGE(C29:C37)</f>
        <v>0.4844444444444444</v>
      </c>
      <c r="K6" s="37">
        <f>AVERAGE(D29:D37)</f>
        <v>18.093333333333334</v>
      </c>
      <c r="L6" s="37">
        <f t="shared" si="0"/>
        <v>2.6774748219110779E-2</v>
      </c>
    </row>
    <row r="7" spans="1:12" x14ac:dyDescent="0.3">
      <c r="A7" s="153"/>
      <c r="B7" s="42">
        <v>3</v>
      </c>
      <c r="C7" s="42">
        <v>0.62</v>
      </c>
      <c r="D7" s="64">
        <v>21.54</v>
      </c>
      <c r="G7" s="37"/>
      <c r="H7" s="37"/>
      <c r="I7" s="41">
        <v>1.4</v>
      </c>
      <c r="J7" s="37">
        <f>AVERAGE(C38:C40)</f>
        <v>0.36333333333333334</v>
      </c>
      <c r="K7" s="37">
        <f>AVERAGE(D38:D40)</f>
        <v>14.556666666666667</v>
      </c>
      <c r="L7" s="37">
        <f t="shared" si="0"/>
        <v>2.4959926723150904E-2</v>
      </c>
    </row>
    <row r="8" spans="1:12" x14ac:dyDescent="0.3">
      <c r="A8" s="152" t="s">
        <v>2</v>
      </c>
      <c r="B8" s="62">
        <v>1</v>
      </c>
      <c r="C8" s="62">
        <v>0.91</v>
      </c>
      <c r="D8" s="63">
        <v>28.81</v>
      </c>
      <c r="G8" s="37"/>
      <c r="H8" s="37"/>
      <c r="I8" s="41">
        <v>1.5</v>
      </c>
      <c r="J8" s="46">
        <f>AVERAGE(C41:C43)</f>
        <v>0.28666666666666668</v>
      </c>
      <c r="K8" s="46">
        <f>AVERAGE(D41:D43)</f>
        <v>12.103333333333333</v>
      </c>
      <c r="L8" s="46">
        <f>J8/K8</f>
        <v>2.3684935279537318E-2</v>
      </c>
    </row>
    <row r="9" spans="1:12" x14ac:dyDescent="0.3">
      <c r="A9" s="153"/>
      <c r="B9" s="42">
        <v>2</v>
      </c>
      <c r="C9" s="42">
        <v>0.78</v>
      </c>
      <c r="D9" s="64">
        <v>26.55</v>
      </c>
      <c r="G9" s="37"/>
      <c r="H9" s="37"/>
      <c r="I9" s="37"/>
      <c r="J9" s="37"/>
      <c r="K9" s="37"/>
      <c r="L9" s="37"/>
    </row>
    <row r="10" spans="1:12" x14ac:dyDescent="0.3">
      <c r="A10" s="153"/>
      <c r="B10" s="42">
        <v>3</v>
      </c>
      <c r="C10" s="42">
        <v>0.67</v>
      </c>
      <c r="D10" s="64">
        <v>22.88</v>
      </c>
      <c r="G10" s="37"/>
      <c r="H10" s="37"/>
      <c r="I10" s="37"/>
      <c r="J10" s="37"/>
      <c r="K10" s="37"/>
      <c r="L10" s="37"/>
    </row>
    <row r="11" spans="1:12" ht="16.2" x14ac:dyDescent="0.35">
      <c r="A11" s="152" t="s">
        <v>3</v>
      </c>
      <c r="B11" s="62">
        <v>1</v>
      </c>
      <c r="C11" s="62">
        <v>0.78</v>
      </c>
      <c r="D11" s="63">
        <v>28.39</v>
      </c>
      <c r="G11" s="37"/>
      <c r="H11" s="37"/>
      <c r="I11" s="50" t="s">
        <v>44</v>
      </c>
      <c r="J11" s="71" t="s">
        <v>43</v>
      </c>
      <c r="K11" s="37"/>
      <c r="L11" s="37"/>
    </row>
    <row r="12" spans="1:12" ht="16.2" x14ac:dyDescent="0.35">
      <c r="A12" s="153"/>
      <c r="B12" s="42">
        <v>2</v>
      </c>
      <c r="C12" s="42">
        <v>0.8</v>
      </c>
      <c r="D12" s="64">
        <v>25.31</v>
      </c>
      <c r="G12" s="37"/>
      <c r="H12" s="37"/>
      <c r="I12" s="53" t="s">
        <v>47</v>
      </c>
      <c r="J12" s="72">
        <v>2.9681401470454751E-2</v>
      </c>
      <c r="K12" s="37">
        <f>J17*100/J12</f>
        <v>79.797226903566553</v>
      </c>
      <c r="L12" s="37"/>
    </row>
    <row r="13" spans="1:12" ht="16.2" x14ac:dyDescent="0.35">
      <c r="A13" s="153"/>
      <c r="B13" s="42">
        <v>3</v>
      </c>
      <c r="C13" s="42">
        <v>0.74</v>
      </c>
      <c r="D13" s="64">
        <v>24.6</v>
      </c>
      <c r="G13" s="37"/>
      <c r="H13" s="37"/>
      <c r="I13" s="53" t="s">
        <v>48</v>
      </c>
      <c r="J13" s="72">
        <v>2.9809311427661217E-2</v>
      </c>
      <c r="K13" s="37">
        <f>100-K12</f>
        <v>20.202773096433447</v>
      </c>
      <c r="L13" s="37"/>
    </row>
    <row r="14" spans="1:12" ht="16.2" x14ac:dyDescent="0.35">
      <c r="A14" s="152" t="s">
        <v>4</v>
      </c>
      <c r="B14" s="62">
        <v>1</v>
      </c>
      <c r="C14" s="62">
        <v>0.63</v>
      </c>
      <c r="D14" s="63">
        <v>20.43</v>
      </c>
      <c r="G14" s="37"/>
      <c r="H14" s="37"/>
      <c r="I14" s="53" t="s">
        <v>49</v>
      </c>
      <c r="J14" s="73">
        <v>3.0116871441414447E-2</v>
      </c>
      <c r="K14" s="37"/>
      <c r="L14" s="37"/>
    </row>
    <row r="15" spans="1:12" ht="16.2" x14ac:dyDescent="0.35">
      <c r="A15" s="153"/>
      <c r="B15" s="42">
        <v>2</v>
      </c>
      <c r="C15" s="42">
        <v>0.59</v>
      </c>
      <c r="D15" s="64">
        <v>20.05</v>
      </c>
      <c r="G15" s="37"/>
      <c r="H15" s="37"/>
      <c r="I15" s="53" t="s">
        <v>50</v>
      </c>
      <c r="J15" s="72">
        <v>2.6774748219110779E-2</v>
      </c>
      <c r="K15" s="37"/>
      <c r="L15" s="37"/>
    </row>
    <row r="16" spans="1:12" ht="16.2" x14ac:dyDescent="0.35">
      <c r="A16" s="153"/>
      <c r="B16" s="42">
        <v>3</v>
      </c>
      <c r="C16" s="42">
        <v>0.61</v>
      </c>
      <c r="D16" s="64">
        <v>20.71</v>
      </c>
      <c r="G16" s="37"/>
      <c r="H16" s="37"/>
      <c r="I16" s="53" t="s">
        <v>97</v>
      </c>
      <c r="J16" s="72">
        <v>2.4959926723150904E-2</v>
      </c>
      <c r="K16" s="37"/>
      <c r="L16" s="37"/>
    </row>
    <row r="17" spans="1:12" ht="16.8" thickBot="1" x14ac:dyDescent="0.4">
      <c r="A17" s="152" t="s">
        <v>5</v>
      </c>
      <c r="B17" s="62">
        <v>1</v>
      </c>
      <c r="C17" s="62">
        <v>0.94</v>
      </c>
      <c r="D17" s="63">
        <v>30.12</v>
      </c>
      <c r="G17" s="37"/>
      <c r="H17" s="37"/>
      <c r="I17" s="54" t="s">
        <v>98</v>
      </c>
      <c r="J17" s="73">
        <v>2.3684935279537318E-2</v>
      </c>
      <c r="K17" s="37"/>
      <c r="L17" s="37"/>
    </row>
    <row r="18" spans="1:12" x14ac:dyDescent="0.3">
      <c r="A18" s="153"/>
      <c r="B18" s="42">
        <v>2</v>
      </c>
      <c r="C18" s="42">
        <v>0.78</v>
      </c>
      <c r="D18" s="64">
        <v>26.94</v>
      </c>
    </row>
    <row r="19" spans="1:12" x14ac:dyDescent="0.3">
      <c r="A19" s="154"/>
      <c r="B19" s="65">
        <v>3</v>
      </c>
      <c r="C19" s="65">
        <v>0.68</v>
      </c>
      <c r="D19" s="66">
        <v>23.18</v>
      </c>
    </row>
    <row r="20" spans="1:12" x14ac:dyDescent="0.3">
      <c r="A20" s="149" t="s">
        <v>6</v>
      </c>
      <c r="B20" s="62">
        <v>1</v>
      </c>
      <c r="C20" s="62">
        <v>0.64</v>
      </c>
      <c r="D20" s="63">
        <v>21.17</v>
      </c>
    </row>
    <row r="21" spans="1:12" x14ac:dyDescent="0.3">
      <c r="A21" s="150"/>
      <c r="B21" s="42">
        <v>2</v>
      </c>
      <c r="C21" s="42">
        <v>0.57999999999999996</v>
      </c>
      <c r="D21" s="64">
        <v>20.07</v>
      </c>
    </row>
    <row r="22" spans="1:12" x14ac:dyDescent="0.3">
      <c r="A22" s="151"/>
      <c r="B22" s="65">
        <v>3</v>
      </c>
      <c r="C22" s="65">
        <v>0.65</v>
      </c>
      <c r="D22" s="66">
        <v>22.57</v>
      </c>
    </row>
    <row r="23" spans="1:12" x14ac:dyDescent="0.3">
      <c r="A23" s="149" t="s">
        <v>7</v>
      </c>
      <c r="B23" s="62">
        <v>1</v>
      </c>
      <c r="C23" s="62">
        <v>0.84</v>
      </c>
      <c r="D23" s="63">
        <v>27.66</v>
      </c>
    </row>
    <row r="24" spans="1:12" x14ac:dyDescent="0.3">
      <c r="A24" s="150"/>
      <c r="B24" s="42">
        <v>2</v>
      </c>
      <c r="C24" s="42">
        <v>0.69</v>
      </c>
      <c r="D24" s="64">
        <v>23.24</v>
      </c>
    </row>
    <row r="25" spans="1:12" x14ac:dyDescent="0.3">
      <c r="A25" s="151"/>
      <c r="B25" s="65">
        <v>3</v>
      </c>
      <c r="C25" s="65">
        <v>0.62</v>
      </c>
      <c r="D25" s="66">
        <v>19.7</v>
      </c>
    </row>
    <row r="26" spans="1:12" x14ac:dyDescent="0.3">
      <c r="A26" s="149" t="s">
        <v>8</v>
      </c>
      <c r="B26" s="62">
        <v>1</v>
      </c>
      <c r="C26" s="62">
        <v>0.73</v>
      </c>
      <c r="D26" s="63">
        <v>23.9</v>
      </c>
    </row>
    <row r="27" spans="1:12" x14ac:dyDescent="0.3">
      <c r="A27" s="150"/>
      <c r="B27" s="42">
        <v>2</v>
      </c>
      <c r="C27" s="42">
        <v>0.71</v>
      </c>
      <c r="D27" s="64">
        <v>23.18</v>
      </c>
    </row>
    <row r="28" spans="1:12" x14ac:dyDescent="0.3">
      <c r="A28" s="151"/>
      <c r="B28" s="65">
        <v>3</v>
      </c>
      <c r="C28" s="65">
        <v>0.56999999999999995</v>
      </c>
      <c r="D28" s="66">
        <v>18.73</v>
      </c>
    </row>
    <row r="29" spans="1:12" x14ac:dyDescent="0.3">
      <c r="A29" s="149" t="s">
        <v>9</v>
      </c>
      <c r="B29" s="62">
        <v>1</v>
      </c>
      <c r="C29" s="62">
        <v>0.54</v>
      </c>
      <c r="D29" s="63">
        <v>19.940000000000001</v>
      </c>
    </row>
    <row r="30" spans="1:12" x14ac:dyDescent="0.3">
      <c r="A30" s="150"/>
      <c r="B30" s="42">
        <v>2</v>
      </c>
      <c r="C30" s="42">
        <v>0.46</v>
      </c>
      <c r="D30" s="64">
        <v>17.78</v>
      </c>
    </row>
    <row r="31" spans="1:12" x14ac:dyDescent="0.3">
      <c r="A31" s="151"/>
      <c r="B31" s="65">
        <v>3</v>
      </c>
      <c r="C31" s="65">
        <v>0.47</v>
      </c>
      <c r="D31" s="66">
        <v>18.53</v>
      </c>
    </row>
    <row r="32" spans="1:12" x14ac:dyDescent="0.3">
      <c r="A32" s="149" t="s">
        <v>10</v>
      </c>
      <c r="B32" s="62">
        <v>1</v>
      </c>
      <c r="C32" s="62">
        <v>0.53</v>
      </c>
      <c r="D32" s="63">
        <v>19.690000000000001</v>
      </c>
    </row>
    <row r="33" spans="1:4" x14ac:dyDescent="0.3">
      <c r="A33" s="150"/>
      <c r="B33" s="42">
        <v>2</v>
      </c>
      <c r="C33" s="42">
        <v>0.51</v>
      </c>
      <c r="D33" s="64">
        <v>19.57</v>
      </c>
    </row>
    <row r="34" spans="1:4" x14ac:dyDescent="0.3">
      <c r="A34" s="151"/>
      <c r="B34" s="65">
        <v>3</v>
      </c>
      <c r="C34" s="65">
        <v>0.48</v>
      </c>
      <c r="D34" s="66">
        <v>17.440000000000001</v>
      </c>
    </row>
    <row r="35" spans="1:4" x14ac:dyDescent="0.3">
      <c r="A35" s="149" t="s">
        <v>11</v>
      </c>
      <c r="B35" s="62">
        <v>1</v>
      </c>
      <c r="C35" s="62">
        <v>0.52</v>
      </c>
      <c r="D35" s="63">
        <v>18.920000000000002</v>
      </c>
    </row>
    <row r="36" spans="1:4" x14ac:dyDescent="0.3">
      <c r="A36" s="150"/>
      <c r="B36" s="42">
        <v>2</v>
      </c>
      <c r="C36" s="42">
        <v>0.42</v>
      </c>
      <c r="D36" s="64">
        <v>15.18</v>
      </c>
    </row>
    <row r="37" spans="1:4" x14ac:dyDescent="0.3">
      <c r="A37" s="151"/>
      <c r="B37" s="65">
        <v>3</v>
      </c>
      <c r="C37" s="65">
        <v>0.43</v>
      </c>
      <c r="D37" s="66">
        <v>15.79</v>
      </c>
    </row>
    <row r="38" spans="1:4" x14ac:dyDescent="0.3">
      <c r="A38" s="149" t="s">
        <v>14</v>
      </c>
      <c r="B38" s="62">
        <v>1</v>
      </c>
      <c r="C38" s="62">
        <v>0.43</v>
      </c>
      <c r="D38" s="63">
        <v>16.600000000000001</v>
      </c>
    </row>
    <row r="39" spans="1:4" x14ac:dyDescent="0.3">
      <c r="A39" s="150"/>
      <c r="B39" s="42">
        <v>2</v>
      </c>
      <c r="C39" s="42">
        <v>0.33</v>
      </c>
      <c r="D39" s="64">
        <v>14.11</v>
      </c>
    </row>
    <row r="40" spans="1:4" x14ac:dyDescent="0.3">
      <c r="A40" s="151"/>
      <c r="B40" s="65">
        <v>3</v>
      </c>
      <c r="C40" s="65">
        <v>0.33</v>
      </c>
      <c r="D40" s="66">
        <v>12.96</v>
      </c>
    </row>
    <row r="41" spans="1:4" x14ac:dyDescent="0.3">
      <c r="A41" s="150" t="s">
        <v>17</v>
      </c>
      <c r="B41" s="42">
        <v>1</v>
      </c>
      <c r="C41" s="48">
        <v>0.28999999999999998</v>
      </c>
      <c r="D41" s="67">
        <v>11.75</v>
      </c>
    </row>
    <row r="42" spans="1:4" x14ac:dyDescent="0.3">
      <c r="A42" s="150"/>
      <c r="B42" s="42">
        <v>2</v>
      </c>
      <c r="C42" s="48">
        <v>0.27</v>
      </c>
      <c r="D42" s="67">
        <v>12.3</v>
      </c>
    </row>
    <row r="43" spans="1:4" x14ac:dyDescent="0.3">
      <c r="A43" s="151"/>
      <c r="B43" s="65">
        <v>3</v>
      </c>
      <c r="C43" s="68">
        <v>0.3</v>
      </c>
      <c r="D43" s="69">
        <v>12.26</v>
      </c>
    </row>
  </sheetData>
  <mergeCells count="15">
    <mergeCell ref="I1:L1"/>
    <mergeCell ref="A38:A40"/>
    <mergeCell ref="A41:A43"/>
    <mergeCell ref="A20:A22"/>
    <mergeCell ref="A23:A25"/>
    <mergeCell ref="A26:A28"/>
    <mergeCell ref="A29:A31"/>
    <mergeCell ref="A32:A34"/>
    <mergeCell ref="A35:A37"/>
    <mergeCell ref="A17:A19"/>
    <mergeCell ref="A2:A4"/>
    <mergeCell ref="A5:A7"/>
    <mergeCell ref="A8:A10"/>
    <mergeCell ref="A11:A13"/>
    <mergeCell ref="A14:A1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Z47"/>
  <sheetViews>
    <sheetView topLeftCell="AA1" workbookViewId="0">
      <selection activeCell="AL3" sqref="AL3:AL8"/>
    </sheetView>
  </sheetViews>
  <sheetFormatPr defaultRowHeight="14.4" x14ac:dyDescent="0.3"/>
  <cols>
    <col min="1" max="1" width="17" customWidth="1"/>
    <col min="2" max="2" width="13.5546875" customWidth="1"/>
    <col min="3" max="3" width="10.88671875" customWidth="1"/>
    <col min="5" max="5" width="12.5546875" bestFit="1" customWidth="1"/>
    <col min="7" max="7" width="16.44140625" customWidth="1"/>
    <col min="8" max="8" width="14.33203125" customWidth="1"/>
    <col min="9" max="9" width="12.5546875" customWidth="1"/>
    <col min="11" max="11" width="17.44140625" customWidth="1"/>
    <col min="12" max="12" width="14.33203125" customWidth="1"/>
    <col min="13" max="13" width="12.6640625" customWidth="1"/>
    <col min="14" max="14" width="11.33203125" customWidth="1"/>
    <col min="15" max="15" width="12.109375" customWidth="1"/>
    <col min="17" max="17" width="9" customWidth="1"/>
    <col min="18" max="18" width="19.109375" customWidth="1"/>
    <col min="19" max="19" width="18.33203125" customWidth="1"/>
    <col min="20" max="20" width="17.6640625" customWidth="1"/>
    <col min="21" max="21" width="19.44140625" customWidth="1"/>
    <col min="22" max="22" width="12.6640625" customWidth="1"/>
    <col min="24" max="24" width="18" customWidth="1"/>
    <col min="25" max="25" width="15.6640625" customWidth="1"/>
    <col min="26" max="26" width="12.88671875" customWidth="1"/>
    <col min="27" max="27" width="13.44140625" customWidth="1"/>
    <col min="28" max="28" width="13.5546875" customWidth="1"/>
    <col min="30" max="30" width="18.5546875" customWidth="1"/>
    <col min="31" max="31" width="13.109375" customWidth="1"/>
    <col min="32" max="32" width="10.44140625" customWidth="1"/>
    <col min="34" max="34" width="19.33203125" customWidth="1"/>
    <col min="35" max="35" width="14" customWidth="1"/>
    <col min="36" max="36" width="13.33203125" customWidth="1"/>
    <col min="38" max="38" width="17.5546875" customWidth="1"/>
    <col min="39" max="39" width="13.6640625" customWidth="1"/>
    <col min="40" max="40" width="12.88671875" customWidth="1"/>
    <col min="41" max="41" width="12.33203125" customWidth="1"/>
    <col min="42" max="42" width="12" customWidth="1"/>
    <col min="44" max="44" width="15.6640625" customWidth="1"/>
    <col min="45" max="45" width="17" customWidth="1"/>
    <col min="46" max="46" width="17.5546875" customWidth="1"/>
    <col min="47" max="47" width="13.33203125" customWidth="1"/>
    <col min="48" max="48" width="15.5546875" customWidth="1"/>
    <col min="49" max="49" width="19.6640625" customWidth="1"/>
    <col min="50" max="50" width="16.5546875" bestFit="1" customWidth="1"/>
    <col min="51" max="51" width="16" bestFit="1" customWidth="1"/>
    <col min="52" max="52" width="14.6640625" customWidth="1"/>
    <col min="53" max="53" width="18.6640625" customWidth="1"/>
    <col min="54" max="54" width="20" customWidth="1"/>
    <col min="55" max="55" width="17.88671875" customWidth="1"/>
    <col min="60" max="60" width="15.6640625" customWidth="1"/>
    <col min="61" max="61" width="16.109375" customWidth="1"/>
    <col min="62" max="62" width="18.33203125" customWidth="1"/>
    <col min="63" max="63" width="19.6640625" customWidth="1"/>
    <col min="64" max="64" width="18.33203125" customWidth="1"/>
    <col min="65" max="65" width="18" customWidth="1"/>
    <col min="66" max="66" width="19.5546875" customWidth="1"/>
    <col min="67" max="67" width="15.109375" customWidth="1"/>
    <col min="71" max="71" width="15.88671875" customWidth="1"/>
    <col min="72" max="72" width="18.33203125" customWidth="1"/>
    <col min="73" max="73" width="17.33203125" customWidth="1"/>
    <col min="74" max="74" width="11.33203125" customWidth="1"/>
    <col min="94" max="94" width="15.6640625" customWidth="1"/>
    <col min="95" max="95" width="21.109375" customWidth="1"/>
    <col min="97" max="97" width="16.33203125" customWidth="1"/>
    <col min="98" max="98" width="20" customWidth="1"/>
    <col min="100" max="100" width="15.5546875" customWidth="1"/>
    <col min="101" max="101" width="18.33203125" customWidth="1"/>
    <col min="102" max="102" width="17.88671875" customWidth="1"/>
    <col min="103" max="103" width="9.6640625" customWidth="1"/>
    <col min="104" max="104" width="10.33203125" customWidth="1"/>
  </cols>
  <sheetData>
    <row r="1" spans="1:104" s="22" customFormat="1" ht="16.2" thickBot="1" x14ac:dyDescent="0.35">
      <c r="A1" s="41" t="s">
        <v>63</v>
      </c>
      <c r="B1" s="41" t="s">
        <v>65</v>
      </c>
      <c r="C1" s="41" t="s">
        <v>66</v>
      </c>
      <c r="D1" s="37"/>
      <c r="E1" s="74" t="s">
        <v>186</v>
      </c>
      <c r="G1" s="41" t="s">
        <v>63</v>
      </c>
      <c r="H1" s="41" t="s">
        <v>65</v>
      </c>
      <c r="I1" s="41" t="s">
        <v>66</v>
      </c>
      <c r="K1" s="41" t="s">
        <v>68</v>
      </c>
      <c r="L1" s="37"/>
      <c r="M1" s="37"/>
      <c r="N1" s="37"/>
      <c r="O1" s="37"/>
      <c r="R1" s="41" t="s">
        <v>63</v>
      </c>
      <c r="S1" s="41" t="s">
        <v>65</v>
      </c>
      <c r="T1" s="41" t="s">
        <v>66</v>
      </c>
      <c r="U1" s="41"/>
      <c r="V1" s="41"/>
      <c r="X1" s="41" t="s">
        <v>73</v>
      </c>
      <c r="Y1" s="37"/>
      <c r="Z1" s="37"/>
      <c r="AA1" s="37"/>
      <c r="AB1" s="37"/>
      <c r="AC1" s="37"/>
      <c r="AD1" s="37"/>
      <c r="AE1" s="37"/>
      <c r="AF1" s="37"/>
      <c r="AG1" s="37"/>
      <c r="AH1" s="41" t="s">
        <v>63</v>
      </c>
      <c r="AI1" s="41" t="s">
        <v>65</v>
      </c>
      <c r="AJ1" s="41" t="s">
        <v>66</v>
      </c>
      <c r="AL1" s="41" t="s">
        <v>79</v>
      </c>
      <c r="AM1" s="37"/>
      <c r="AN1" s="37"/>
      <c r="AO1" s="37"/>
      <c r="AP1" s="37"/>
      <c r="AR1" s="86" t="s">
        <v>44</v>
      </c>
      <c r="AS1" s="35" t="s">
        <v>99</v>
      </c>
      <c r="AT1" s="36" t="s">
        <v>56</v>
      </c>
      <c r="AW1" s="86" t="s">
        <v>44</v>
      </c>
      <c r="AX1" s="35" t="s">
        <v>104</v>
      </c>
      <c r="AY1" s="36" t="s">
        <v>58</v>
      </c>
      <c r="BA1" s="86" t="s">
        <v>44</v>
      </c>
      <c r="BB1" s="35" t="s">
        <v>141</v>
      </c>
      <c r="BC1" s="36" t="s">
        <v>142</v>
      </c>
      <c r="BH1" s="86" t="s">
        <v>44</v>
      </c>
      <c r="BI1" s="36" t="s">
        <v>56</v>
      </c>
      <c r="BJ1" s="36" t="s">
        <v>57</v>
      </c>
      <c r="BK1" s="41" t="s">
        <v>105</v>
      </c>
      <c r="BL1" s="35" t="s">
        <v>99</v>
      </c>
      <c r="BM1" s="41" t="s">
        <v>101</v>
      </c>
      <c r="BN1" s="41" t="s">
        <v>106</v>
      </c>
      <c r="BR1" s="156" t="s">
        <v>110</v>
      </c>
      <c r="BS1" s="156"/>
      <c r="BT1" s="156"/>
      <c r="BU1" s="46"/>
      <c r="BV1" s="37"/>
      <c r="CP1" s="86" t="s">
        <v>44</v>
      </c>
      <c r="CQ1" s="41" t="s">
        <v>105</v>
      </c>
      <c r="CS1" s="86" t="s">
        <v>44</v>
      </c>
      <c r="CT1" s="41" t="s">
        <v>106</v>
      </c>
      <c r="CV1" s="41" t="s">
        <v>68</v>
      </c>
      <c r="CW1" s="37"/>
      <c r="CX1" s="37"/>
      <c r="CY1" s="37"/>
      <c r="CZ1" s="37"/>
    </row>
    <row r="2" spans="1:104" ht="16.2" x14ac:dyDescent="0.35">
      <c r="A2" s="75" t="s">
        <v>144</v>
      </c>
      <c r="B2" s="75">
        <v>12.74</v>
      </c>
      <c r="C2" s="75">
        <f>13.27-10.08</f>
        <v>3.1899999999999995</v>
      </c>
      <c r="D2" s="42"/>
      <c r="E2" s="75">
        <v>10.08</v>
      </c>
      <c r="G2" s="75" t="s">
        <v>144</v>
      </c>
      <c r="H2" s="75">
        <v>12.74</v>
      </c>
      <c r="I2" s="75">
        <f>13.27-10.08</f>
        <v>3.1899999999999995</v>
      </c>
      <c r="K2" s="41" t="s">
        <v>63</v>
      </c>
      <c r="L2" s="41" t="s">
        <v>65</v>
      </c>
      <c r="M2" s="41" t="s">
        <v>66</v>
      </c>
      <c r="N2" s="41" t="s">
        <v>69</v>
      </c>
      <c r="O2" s="41" t="s">
        <v>70</v>
      </c>
      <c r="R2" s="75" t="s">
        <v>158</v>
      </c>
      <c r="S2" s="75">
        <v>168.4</v>
      </c>
      <c r="T2" s="75">
        <v>37.53</v>
      </c>
      <c r="U2" s="42"/>
      <c r="V2" s="42"/>
      <c r="X2" s="41" t="s">
        <v>63</v>
      </c>
      <c r="Y2" s="41" t="s">
        <v>65</v>
      </c>
      <c r="Z2" s="41" t="s">
        <v>66</v>
      </c>
      <c r="AA2" s="41" t="s">
        <v>69</v>
      </c>
      <c r="AB2" s="41" t="s">
        <v>70</v>
      </c>
      <c r="AC2" s="37"/>
      <c r="AD2" s="37"/>
      <c r="AE2" s="37"/>
      <c r="AF2" s="37"/>
      <c r="AG2" s="37"/>
      <c r="AH2" s="75" t="s">
        <v>172</v>
      </c>
      <c r="AI2" s="75">
        <v>40.229999999999997</v>
      </c>
      <c r="AJ2" s="75">
        <f>17.62-10.08</f>
        <v>7.5400000000000009</v>
      </c>
      <c r="AL2" s="41" t="s">
        <v>63</v>
      </c>
      <c r="AM2" s="41" t="s">
        <v>65</v>
      </c>
      <c r="AN2" s="41" t="s">
        <v>66</v>
      </c>
      <c r="AO2" s="41" t="s">
        <v>69</v>
      </c>
      <c r="AP2" s="41" t="s">
        <v>70</v>
      </c>
      <c r="AR2" s="53" t="s">
        <v>47</v>
      </c>
      <c r="AS2" s="60">
        <v>13.366666666666667</v>
      </c>
      <c r="AT2" s="37">
        <v>3.5399999999999996</v>
      </c>
      <c r="AW2" s="53" t="s">
        <v>47</v>
      </c>
      <c r="AX2" s="60">
        <v>30.256666666666664</v>
      </c>
      <c r="AY2" s="60">
        <v>7.993333333333335</v>
      </c>
      <c r="BA2" s="53" t="s">
        <v>47</v>
      </c>
      <c r="BB2" s="37">
        <v>171.07000000000002</v>
      </c>
      <c r="BC2" s="60">
        <v>40.486666666666672</v>
      </c>
      <c r="BH2" s="53" t="s">
        <v>47</v>
      </c>
      <c r="BI2" s="37">
        <v>3.5399999999999996</v>
      </c>
      <c r="BJ2" s="60">
        <v>40.486666666666672</v>
      </c>
      <c r="BK2" s="60">
        <f t="shared" ref="BK2:BK7" si="0">BI2/BJ2</f>
        <v>8.7436192985344954E-2</v>
      </c>
      <c r="BL2" s="60">
        <v>13.366666666666667</v>
      </c>
      <c r="BM2" s="37">
        <v>171.07000000000002</v>
      </c>
      <c r="BN2" s="60">
        <f t="shared" ref="BN2:BN7" si="1">BL2/BM2</f>
        <v>7.8135655969291312E-2</v>
      </c>
      <c r="BR2" s="37"/>
      <c r="BS2" s="86" t="s">
        <v>44</v>
      </c>
      <c r="BT2" s="35" t="s">
        <v>99</v>
      </c>
      <c r="BU2" s="36" t="s">
        <v>56</v>
      </c>
      <c r="BV2" s="36" t="s">
        <v>107</v>
      </c>
      <c r="CP2" s="53" t="s">
        <v>47</v>
      </c>
      <c r="CQ2" s="60">
        <v>8.7436192985344954E-2</v>
      </c>
      <c r="CS2" s="53" t="s">
        <v>47</v>
      </c>
      <c r="CT2" s="60">
        <v>7.8135655969291312E-2</v>
      </c>
      <c r="CV2" s="86" t="s">
        <v>44</v>
      </c>
      <c r="CW2" s="41" t="s">
        <v>65</v>
      </c>
      <c r="CX2" s="41" t="s">
        <v>66</v>
      </c>
      <c r="CY2" s="41" t="s">
        <v>69</v>
      </c>
      <c r="CZ2" s="41" t="s">
        <v>70</v>
      </c>
    </row>
    <row r="3" spans="1:104" ht="16.2" x14ac:dyDescent="0.35">
      <c r="A3" s="75" t="s">
        <v>145</v>
      </c>
      <c r="B3" s="75">
        <v>14.17</v>
      </c>
      <c r="C3" s="75">
        <f>14.02-10.08</f>
        <v>3.9399999999999995</v>
      </c>
      <c r="D3" s="42"/>
      <c r="E3" s="75">
        <v>10.08</v>
      </c>
      <c r="G3" s="75" t="s">
        <v>145</v>
      </c>
      <c r="H3" s="75">
        <v>14.17</v>
      </c>
      <c r="I3" s="75">
        <f>14.02-10.08</f>
        <v>3.9399999999999995</v>
      </c>
      <c r="K3" s="44" t="s">
        <v>187</v>
      </c>
      <c r="L3" s="37">
        <f>AVERAGE(H2:H4)</f>
        <v>13.366666666666667</v>
      </c>
      <c r="M3" s="37">
        <f>AVERAGE(I2:I4)</f>
        <v>3.5399999999999996</v>
      </c>
      <c r="N3" s="37">
        <f t="shared" ref="N3:N8" si="2">M3/L3</f>
        <v>0.2648379052369077</v>
      </c>
      <c r="O3" s="37">
        <f t="shared" ref="O3:O8" si="3">L3/M3</f>
        <v>3.7758945386064036</v>
      </c>
      <c r="R3" s="75" t="s">
        <v>159</v>
      </c>
      <c r="S3" s="75">
        <v>160.77000000000001</v>
      </c>
      <c r="T3" s="75">
        <v>41.5</v>
      </c>
      <c r="U3" s="42"/>
      <c r="V3" s="42"/>
      <c r="X3" s="44" t="s">
        <v>193</v>
      </c>
      <c r="Y3" s="37">
        <v>201.32666666666668</v>
      </c>
      <c r="Z3" s="37">
        <v>48.48</v>
      </c>
      <c r="AA3" s="37">
        <f t="shared" ref="AA3:AA8" si="4">Z3/Y3</f>
        <v>0.24080267558528426</v>
      </c>
      <c r="AB3" s="37">
        <f t="shared" ref="AB3:AB8" si="5">Y3/Z3</f>
        <v>4.1527777777777786</v>
      </c>
      <c r="AC3" s="37"/>
      <c r="AD3" s="37"/>
      <c r="AE3" s="37"/>
      <c r="AF3" s="37"/>
      <c r="AG3" s="37"/>
      <c r="AH3" s="75" t="s">
        <v>173</v>
      </c>
      <c r="AI3" s="75">
        <v>39.299999999999997</v>
      </c>
      <c r="AJ3" s="75">
        <f>17.53-10.08</f>
        <v>7.4500000000000011</v>
      </c>
      <c r="AL3" s="44" t="s">
        <v>199</v>
      </c>
      <c r="AM3" s="37">
        <f>AVERAGE(AI2:AI4)</f>
        <v>30.256666666666664</v>
      </c>
      <c r="AN3" s="37">
        <f>AVERAGE(AJ2:AJ4)</f>
        <v>7.993333333333335</v>
      </c>
      <c r="AO3" s="37">
        <f t="shared" ref="AO3:AO8" si="6">AN3/AM3</f>
        <v>0.26418420182879815</v>
      </c>
      <c r="AP3" s="37">
        <f t="shared" ref="AP3:AP8" si="7">AM3/AN3</f>
        <v>3.7852376980817337</v>
      </c>
      <c r="AR3" s="53" t="s">
        <v>48</v>
      </c>
      <c r="AS3" s="37">
        <v>13.670000000000002</v>
      </c>
      <c r="AT3" s="60">
        <v>2.3466666666666662</v>
      </c>
      <c r="AW3" s="53" t="s">
        <v>48</v>
      </c>
      <c r="AX3" s="60">
        <v>50.076666666666661</v>
      </c>
      <c r="AY3" s="60">
        <v>9.1366666666666685</v>
      </c>
      <c r="BA3" s="53" t="s">
        <v>48</v>
      </c>
      <c r="BB3" s="60">
        <v>169.06333333333336</v>
      </c>
      <c r="BC3" s="60">
        <v>39.306666666666672</v>
      </c>
      <c r="BH3" s="53" t="s">
        <v>48</v>
      </c>
      <c r="BI3" s="60">
        <v>2.3466666666666662</v>
      </c>
      <c r="BJ3" s="60">
        <v>39.306666666666672</v>
      </c>
      <c r="BK3" s="60">
        <f t="shared" si="0"/>
        <v>5.9701492537313411E-2</v>
      </c>
      <c r="BL3" s="37">
        <v>13.670000000000002</v>
      </c>
      <c r="BM3" s="60">
        <v>169.06333333333336</v>
      </c>
      <c r="BN3" s="60">
        <f t="shared" si="1"/>
        <v>8.0857272422563534E-2</v>
      </c>
      <c r="BS3" s="53" t="s">
        <v>47</v>
      </c>
      <c r="BT3" s="60">
        <v>13.366666666666667</v>
      </c>
      <c r="BU3" s="37">
        <v>3.5399999999999996</v>
      </c>
      <c r="BV3" s="60">
        <f t="shared" ref="BV3:BV8" si="8">(BT3-BU3)/BU3</f>
        <v>2.7758945386064036</v>
      </c>
      <c r="CP3" s="53" t="s">
        <v>48</v>
      </c>
      <c r="CQ3" s="60">
        <v>5.9701492537313411E-2</v>
      </c>
      <c r="CS3" s="53" t="s">
        <v>48</v>
      </c>
      <c r="CT3" s="60">
        <v>8.0857272422563534E-2</v>
      </c>
      <c r="CV3" s="53" t="s">
        <v>47</v>
      </c>
      <c r="CW3" s="60">
        <v>13.366666666666667</v>
      </c>
      <c r="CX3" s="37">
        <v>3.5399999999999996</v>
      </c>
      <c r="CY3" s="72">
        <f t="shared" ref="CY3:CY8" si="9">CX3/CW3</f>
        <v>0.2648379052369077</v>
      </c>
      <c r="CZ3" s="72">
        <f t="shared" ref="CZ3:CZ8" si="10">CW3/CX3</f>
        <v>3.7758945386064036</v>
      </c>
    </row>
    <row r="4" spans="1:104" ht="16.2" x14ac:dyDescent="0.35">
      <c r="A4" s="75" t="s">
        <v>146</v>
      </c>
      <c r="B4" s="75">
        <v>13.19</v>
      </c>
      <c r="C4" s="75">
        <f>13.57-10.08</f>
        <v>3.49</v>
      </c>
      <c r="D4" s="42"/>
      <c r="E4" s="75">
        <v>10.08</v>
      </c>
      <c r="G4" s="75" t="s">
        <v>146</v>
      </c>
      <c r="H4" s="75">
        <v>13.19</v>
      </c>
      <c r="I4" s="75">
        <f>13.57-10.08</f>
        <v>3.49</v>
      </c>
      <c r="K4" s="44" t="s">
        <v>188</v>
      </c>
      <c r="L4" s="37">
        <f>AVERAGE(H5:H7)</f>
        <v>13.670000000000002</v>
      </c>
      <c r="M4" s="37">
        <f>AVERAGE(I5:I7)</f>
        <v>2.3466666666666662</v>
      </c>
      <c r="N4" s="37">
        <f t="shared" si="2"/>
        <v>0.17166544745184095</v>
      </c>
      <c r="O4" s="37">
        <f t="shared" si="3"/>
        <v>5.8252840909090926</v>
      </c>
      <c r="R4" s="75" t="s">
        <v>160</v>
      </c>
      <c r="S4" s="75">
        <v>184.04</v>
      </c>
      <c r="T4" s="75">
        <v>42.43</v>
      </c>
      <c r="U4" s="42"/>
      <c r="V4" s="42"/>
      <c r="X4" s="44" t="s">
        <v>194</v>
      </c>
      <c r="Y4" s="37">
        <v>219.14</v>
      </c>
      <c r="Z4" s="37">
        <v>48.443333333333328</v>
      </c>
      <c r="AA4" s="37">
        <f t="shared" si="4"/>
        <v>0.22106111770253414</v>
      </c>
      <c r="AB4" s="37">
        <f t="shared" si="5"/>
        <v>4.5236358632078719</v>
      </c>
      <c r="AC4" s="37"/>
      <c r="AD4" s="37"/>
      <c r="AE4" s="37"/>
      <c r="AF4" s="37"/>
      <c r="AG4" s="37"/>
      <c r="AH4" s="75" t="s">
        <v>174</v>
      </c>
      <c r="AI4" s="75">
        <v>11.24</v>
      </c>
      <c r="AJ4" s="75">
        <f>19.07-10.08</f>
        <v>8.99</v>
      </c>
      <c r="AL4" s="44" t="s">
        <v>200</v>
      </c>
      <c r="AM4" s="37">
        <f>AVERAGE(AI5:AI7)</f>
        <v>50.076666666666661</v>
      </c>
      <c r="AN4" s="37">
        <f>AVERAGE(AJ5:AJ7)</f>
        <v>9.1366666666666685</v>
      </c>
      <c r="AO4" s="37">
        <f t="shared" si="6"/>
        <v>0.18245357119084077</v>
      </c>
      <c r="AP4" s="37">
        <f t="shared" si="7"/>
        <v>5.4808464064210121</v>
      </c>
      <c r="AR4" s="53" t="s">
        <v>49</v>
      </c>
      <c r="AS4" s="60">
        <v>9.1533333333333342</v>
      </c>
      <c r="AT4" s="37">
        <v>2.06</v>
      </c>
      <c r="AW4" s="53" t="s">
        <v>49</v>
      </c>
      <c r="AX4" s="37">
        <v>32.57</v>
      </c>
      <c r="AY4" s="37">
        <v>4.7399999999999993</v>
      </c>
      <c r="BA4" s="53" t="s">
        <v>49</v>
      </c>
      <c r="BB4" s="60">
        <v>107.24333333333334</v>
      </c>
      <c r="BC4" s="60">
        <v>25.766666666666666</v>
      </c>
      <c r="BH4" s="53" t="s">
        <v>49</v>
      </c>
      <c r="BI4" s="37">
        <v>2.06</v>
      </c>
      <c r="BJ4" s="60">
        <v>25.766666666666666</v>
      </c>
      <c r="BK4" s="60">
        <f t="shared" si="0"/>
        <v>7.9948253557567919E-2</v>
      </c>
      <c r="BL4" s="60">
        <v>9.1533333333333342</v>
      </c>
      <c r="BM4" s="60">
        <v>107.24333333333334</v>
      </c>
      <c r="BN4" s="60">
        <f t="shared" si="1"/>
        <v>8.5351070773630064E-2</v>
      </c>
      <c r="BS4" s="53" t="s">
        <v>48</v>
      </c>
      <c r="BT4" s="37">
        <v>13.670000000000002</v>
      </c>
      <c r="BU4" s="60">
        <v>2.3466666666666662</v>
      </c>
      <c r="BV4" s="60">
        <f t="shared" si="8"/>
        <v>4.8252840909090926</v>
      </c>
      <c r="CP4" s="53" t="s">
        <v>49</v>
      </c>
      <c r="CQ4" s="60">
        <v>7.9948253557567919E-2</v>
      </c>
      <c r="CS4" s="53" t="s">
        <v>49</v>
      </c>
      <c r="CT4" s="60">
        <v>8.5351070773630064E-2</v>
      </c>
      <c r="CV4" s="53" t="s">
        <v>48</v>
      </c>
      <c r="CW4" s="37">
        <v>13.670000000000002</v>
      </c>
      <c r="CX4" s="60">
        <v>2.3466666666666662</v>
      </c>
      <c r="CY4" s="72">
        <f t="shared" si="9"/>
        <v>0.17166544745184095</v>
      </c>
      <c r="CZ4" s="72">
        <f t="shared" si="10"/>
        <v>5.8252840909090926</v>
      </c>
    </row>
    <row r="5" spans="1:104" ht="16.2" x14ac:dyDescent="0.35">
      <c r="A5" s="75" t="s">
        <v>147</v>
      </c>
      <c r="B5" s="75">
        <v>12.99</v>
      </c>
      <c r="C5" s="75">
        <f>12.76-10.08</f>
        <v>2.6799999999999997</v>
      </c>
      <c r="D5" s="42"/>
      <c r="E5" s="75">
        <v>10.08</v>
      </c>
      <c r="G5" s="75" t="s">
        <v>147</v>
      </c>
      <c r="H5" s="75">
        <v>12.99</v>
      </c>
      <c r="I5" s="75">
        <f>12.76-10.08</f>
        <v>2.6799999999999997</v>
      </c>
      <c r="K5" s="45" t="s">
        <v>189</v>
      </c>
      <c r="L5" s="37">
        <f>AVERAGE(H8:H10)</f>
        <v>9.1533333333333342</v>
      </c>
      <c r="M5" s="37">
        <f>AVERAGE(I8:I10)</f>
        <v>2.06</v>
      </c>
      <c r="N5" s="37">
        <f t="shared" si="2"/>
        <v>0.22505462490895847</v>
      </c>
      <c r="O5" s="37">
        <f t="shared" si="3"/>
        <v>4.4433656957928802</v>
      </c>
      <c r="R5" s="75" t="s">
        <v>161</v>
      </c>
      <c r="S5" s="75">
        <v>186.88</v>
      </c>
      <c r="T5" s="75">
        <v>39.78</v>
      </c>
      <c r="U5" s="42"/>
      <c r="V5" s="42"/>
      <c r="X5" s="45" t="s">
        <v>195</v>
      </c>
      <c r="Y5" s="37">
        <v>139.81333333333333</v>
      </c>
      <c r="Z5" s="37">
        <v>30.506666666666664</v>
      </c>
      <c r="AA5" s="37">
        <f t="shared" si="4"/>
        <v>0.21819568949074955</v>
      </c>
      <c r="AB5" s="37">
        <f t="shared" si="5"/>
        <v>4.5830419580419584</v>
      </c>
      <c r="AC5" s="37"/>
      <c r="AD5" s="37"/>
      <c r="AE5" s="37"/>
      <c r="AF5" s="37"/>
      <c r="AG5" s="37"/>
      <c r="AH5" s="75" t="s">
        <v>175</v>
      </c>
      <c r="AI5" s="75">
        <v>60.97</v>
      </c>
      <c r="AJ5" s="75">
        <f>20.07-10.08</f>
        <v>9.99</v>
      </c>
      <c r="AL5" s="45" t="s">
        <v>201</v>
      </c>
      <c r="AM5" s="37">
        <f>AVERAGE(AI8:AI10)</f>
        <v>32.57</v>
      </c>
      <c r="AN5" s="37">
        <f>AVERAGE(AJ8:AJ10)</f>
        <v>4.7399999999999993</v>
      </c>
      <c r="AO5" s="37">
        <f t="shared" si="6"/>
        <v>0.14553269880257905</v>
      </c>
      <c r="AP5" s="37">
        <f t="shared" si="7"/>
        <v>6.8713080168776379</v>
      </c>
      <c r="AR5" s="53" t="s">
        <v>50</v>
      </c>
      <c r="AS5" s="60">
        <v>4.9333333333333336</v>
      </c>
      <c r="AT5" s="37">
        <v>1.03</v>
      </c>
      <c r="AW5" s="53" t="s">
        <v>50</v>
      </c>
      <c r="AX5" s="60">
        <v>16.193333333333332</v>
      </c>
      <c r="AY5" s="60">
        <v>2.0466666666666669</v>
      </c>
      <c r="BA5" s="53" t="s">
        <v>50</v>
      </c>
      <c r="BB5" s="37">
        <v>46.66</v>
      </c>
      <c r="BC5" s="60">
        <v>11.523333333333333</v>
      </c>
      <c r="BH5" s="53" t="s">
        <v>50</v>
      </c>
      <c r="BI5" s="37">
        <v>1.03</v>
      </c>
      <c r="BJ5" s="60">
        <v>11.523333333333333</v>
      </c>
      <c r="BK5" s="60">
        <f t="shared" si="0"/>
        <v>8.9383858837142033E-2</v>
      </c>
      <c r="BL5" s="60">
        <v>4.9333333333333336</v>
      </c>
      <c r="BM5" s="37">
        <v>46.66</v>
      </c>
      <c r="BN5" s="60">
        <f t="shared" si="1"/>
        <v>0.10572938991284471</v>
      </c>
      <c r="BS5" s="53" t="s">
        <v>49</v>
      </c>
      <c r="BT5" s="60">
        <v>9.1533333333333342</v>
      </c>
      <c r="BU5" s="37">
        <v>2.06</v>
      </c>
      <c r="BV5" s="60">
        <f t="shared" si="8"/>
        <v>3.4433656957928802</v>
      </c>
      <c r="CP5" s="53" t="s">
        <v>50</v>
      </c>
      <c r="CQ5" s="60">
        <v>8.9383858837142033E-2</v>
      </c>
      <c r="CS5" s="53" t="s">
        <v>50</v>
      </c>
      <c r="CT5" s="60">
        <v>0.10572938991284471</v>
      </c>
      <c r="CV5" s="53" t="s">
        <v>49</v>
      </c>
      <c r="CW5" s="60">
        <v>9.1533333333333342</v>
      </c>
      <c r="CX5" s="37">
        <v>2.06</v>
      </c>
      <c r="CY5" s="72">
        <f t="shared" si="9"/>
        <v>0.22505462490895847</v>
      </c>
      <c r="CZ5" s="72">
        <f t="shared" si="10"/>
        <v>4.4433656957928802</v>
      </c>
    </row>
    <row r="6" spans="1:104" ht="16.2" x14ac:dyDescent="0.35">
      <c r="A6" s="75" t="s">
        <v>148</v>
      </c>
      <c r="B6" s="75">
        <v>15.25</v>
      </c>
      <c r="C6" s="75">
        <f>10.59-10.08</f>
        <v>0.50999999999999979</v>
      </c>
      <c r="D6" s="42"/>
      <c r="E6" s="75">
        <v>10.08</v>
      </c>
      <c r="G6" s="75" t="s">
        <v>148</v>
      </c>
      <c r="H6" s="75">
        <v>15.25</v>
      </c>
      <c r="I6" s="75">
        <f>10.59-10.08</f>
        <v>0.50999999999999979</v>
      </c>
      <c r="K6" s="44" t="s">
        <v>190</v>
      </c>
      <c r="L6" s="37">
        <f>AVERAGE(H11:H13)</f>
        <v>4.9333333333333336</v>
      </c>
      <c r="M6" s="37">
        <f>AVERAGE(I11:I13)</f>
        <v>1.03</v>
      </c>
      <c r="N6" s="37">
        <f t="shared" si="2"/>
        <v>0.20878378378378379</v>
      </c>
      <c r="O6" s="37">
        <f t="shared" si="3"/>
        <v>4.7896440129449838</v>
      </c>
      <c r="R6" s="75" t="s">
        <v>162</v>
      </c>
      <c r="S6" s="75">
        <v>177.48</v>
      </c>
      <c r="T6" s="75">
        <v>35.4</v>
      </c>
      <c r="U6" s="42"/>
      <c r="V6" s="42"/>
      <c r="X6" s="44" t="s">
        <v>196</v>
      </c>
      <c r="Y6" s="37">
        <v>62.853333333333325</v>
      </c>
      <c r="Z6" s="37">
        <v>13.57</v>
      </c>
      <c r="AA6" s="37">
        <f t="shared" si="4"/>
        <v>0.21589944845142134</v>
      </c>
      <c r="AB6" s="37">
        <f t="shared" si="5"/>
        <v>4.6317858020142459</v>
      </c>
      <c r="AC6" s="37"/>
      <c r="AD6" s="37"/>
      <c r="AE6" s="37"/>
      <c r="AF6" s="37"/>
      <c r="AG6" s="37"/>
      <c r="AH6" s="75" t="s">
        <v>176</v>
      </c>
      <c r="AI6" s="75">
        <v>47.82</v>
      </c>
      <c r="AJ6" s="75">
        <f>19.07-10.08</f>
        <v>8.99</v>
      </c>
      <c r="AL6" s="44" t="s">
        <v>202</v>
      </c>
      <c r="AM6" s="37">
        <f>AVERAGE(AI11:AI13)</f>
        <v>16.193333333333332</v>
      </c>
      <c r="AN6" s="37">
        <f>AVERAGE(AJ11:AJ13)</f>
        <v>2.0466666666666669</v>
      </c>
      <c r="AO6" s="37">
        <f t="shared" si="6"/>
        <v>0.12638946068340884</v>
      </c>
      <c r="AP6" s="37">
        <f t="shared" si="7"/>
        <v>7.9120521172638423</v>
      </c>
      <c r="AR6" s="53" t="s">
        <v>97</v>
      </c>
      <c r="AS6" s="46">
        <v>1.63</v>
      </c>
      <c r="AT6" s="46">
        <v>0.41000000000000014</v>
      </c>
      <c r="AW6" s="53" t="s">
        <v>97</v>
      </c>
      <c r="AX6" s="37">
        <v>3.8</v>
      </c>
      <c r="AY6" s="37">
        <v>1.0199999999999996</v>
      </c>
      <c r="BA6" s="53" t="s">
        <v>97</v>
      </c>
      <c r="BB6" s="37">
        <v>13.42</v>
      </c>
      <c r="BC6" s="37">
        <v>3.8200000000000003</v>
      </c>
      <c r="BH6" s="53" t="s">
        <v>97</v>
      </c>
      <c r="BI6" s="46">
        <v>0.41000000000000014</v>
      </c>
      <c r="BJ6" s="37">
        <v>3.8200000000000003</v>
      </c>
      <c r="BK6" s="60">
        <f t="shared" si="0"/>
        <v>0.1073298429319372</v>
      </c>
      <c r="BL6" s="46">
        <v>1.63</v>
      </c>
      <c r="BM6" s="37">
        <v>13.42</v>
      </c>
      <c r="BN6" s="60">
        <f t="shared" si="1"/>
        <v>0.12146050670640834</v>
      </c>
      <c r="BS6" s="53" t="s">
        <v>50</v>
      </c>
      <c r="BT6" s="60">
        <v>4.9333333333333336</v>
      </c>
      <c r="BU6" s="37">
        <v>1.03</v>
      </c>
      <c r="BV6" s="60">
        <f t="shared" si="8"/>
        <v>3.7896440129449838</v>
      </c>
      <c r="CP6" s="53" t="s">
        <v>97</v>
      </c>
      <c r="CQ6" s="60">
        <v>0.1073298429319372</v>
      </c>
      <c r="CS6" s="53" t="s">
        <v>97</v>
      </c>
      <c r="CT6" s="60">
        <v>0.12146050670640834</v>
      </c>
      <c r="CV6" s="53" t="s">
        <v>50</v>
      </c>
      <c r="CW6" s="60">
        <v>4.9333333333333336</v>
      </c>
      <c r="CX6" s="37">
        <v>1.03</v>
      </c>
      <c r="CY6" s="72">
        <f t="shared" si="9"/>
        <v>0.20878378378378379</v>
      </c>
      <c r="CZ6" s="72">
        <f t="shared" si="10"/>
        <v>4.7896440129449838</v>
      </c>
    </row>
    <row r="7" spans="1:104" ht="16.8" thickBot="1" x14ac:dyDescent="0.4">
      <c r="A7" s="75" t="s">
        <v>149</v>
      </c>
      <c r="B7" s="75">
        <v>12.77</v>
      </c>
      <c r="C7" s="75">
        <f>13.93-10.08</f>
        <v>3.8499999999999996</v>
      </c>
      <c r="D7" s="42"/>
      <c r="E7" s="75">
        <v>10.08</v>
      </c>
      <c r="G7" s="75" t="s">
        <v>149</v>
      </c>
      <c r="H7" s="75">
        <v>12.77</v>
      </c>
      <c r="I7" s="75">
        <f>13.93-10.08</f>
        <v>3.8499999999999996</v>
      </c>
      <c r="K7" s="44" t="s">
        <v>191</v>
      </c>
      <c r="L7" s="46">
        <f>AVERAGE(H14)</f>
        <v>1.63</v>
      </c>
      <c r="M7" s="46">
        <f>AVERAGE(I14)</f>
        <v>0.41000000000000014</v>
      </c>
      <c r="N7" s="46">
        <f t="shared" si="2"/>
        <v>0.25153374233128845</v>
      </c>
      <c r="O7" s="46">
        <f t="shared" si="3"/>
        <v>3.9756097560975592</v>
      </c>
      <c r="R7" s="75" t="s">
        <v>163</v>
      </c>
      <c r="S7" s="75">
        <v>142.83000000000001</v>
      </c>
      <c r="T7" s="75">
        <v>42.74</v>
      </c>
      <c r="U7" s="42"/>
      <c r="V7" s="42"/>
      <c r="X7" s="44" t="s">
        <v>197</v>
      </c>
      <c r="Y7" s="37">
        <v>17.22</v>
      </c>
      <c r="Z7" s="37">
        <v>4.84</v>
      </c>
      <c r="AA7" s="37">
        <f t="shared" si="4"/>
        <v>0.28106852497096402</v>
      </c>
      <c r="AB7" s="37">
        <f t="shared" si="5"/>
        <v>3.5578512396694215</v>
      </c>
      <c r="AC7" s="37"/>
      <c r="AD7" s="37"/>
      <c r="AE7" s="37"/>
      <c r="AF7" s="37"/>
      <c r="AG7" s="37"/>
      <c r="AH7" s="75" t="s">
        <v>177</v>
      </c>
      <c r="AI7" s="75">
        <v>41.44</v>
      </c>
      <c r="AJ7" s="75">
        <f>18.51-10.08</f>
        <v>8.4300000000000015</v>
      </c>
      <c r="AL7" s="44" t="s">
        <v>203</v>
      </c>
      <c r="AM7" s="37">
        <f>AVERAGE(AI14)</f>
        <v>3.8</v>
      </c>
      <c r="AN7" s="37">
        <f>AVERAGE(AJ14)</f>
        <v>1.0199999999999996</v>
      </c>
      <c r="AO7" s="37">
        <f t="shared" si="6"/>
        <v>0.26842105263157884</v>
      </c>
      <c r="AP7" s="37">
        <f t="shared" si="7"/>
        <v>3.7254901960784328</v>
      </c>
      <c r="AR7" s="54" t="s">
        <v>98</v>
      </c>
      <c r="AS7" s="46">
        <v>1.78</v>
      </c>
      <c r="AT7" s="46">
        <v>0.44999999999999929</v>
      </c>
      <c r="AW7" s="54" t="s">
        <v>98</v>
      </c>
      <c r="AX7" s="37">
        <v>6.48</v>
      </c>
      <c r="AY7" s="37">
        <v>1.7400000000000002</v>
      </c>
      <c r="BA7" s="54" t="s">
        <v>98</v>
      </c>
      <c r="BB7" s="89">
        <v>10.67</v>
      </c>
      <c r="BC7" s="37">
        <v>3.0399999999999991</v>
      </c>
      <c r="BH7" s="54" t="s">
        <v>98</v>
      </c>
      <c r="BI7" s="46">
        <v>0.44999999999999929</v>
      </c>
      <c r="BJ7" s="37">
        <v>3.0399999999999991</v>
      </c>
      <c r="BK7" s="60">
        <f t="shared" si="0"/>
        <v>0.14802631578947348</v>
      </c>
      <c r="BL7" s="46">
        <v>1.78</v>
      </c>
      <c r="BM7" s="89">
        <v>10.67</v>
      </c>
      <c r="BN7" s="60">
        <f t="shared" si="1"/>
        <v>0.16682286785379569</v>
      </c>
      <c r="BS7" s="53" t="s">
        <v>97</v>
      </c>
      <c r="BT7" s="46">
        <v>1.63</v>
      </c>
      <c r="BU7" s="46">
        <v>0.41000000000000014</v>
      </c>
      <c r="BV7" s="60">
        <f t="shared" si="8"/>
        <v>2.9756097560975592</v>
      </c>
      <c r="CP7" s="54" t="s">
        <v>98</v>
      </c>
      <c r="CQ7" s="60">
        <v>0.14802631578947348</v>
      </c>
      <c r="CS7" s="54" t="s">
        <v>98</v>
      </c>
      <c r="CT7" s="60">
        <v>0.16682286785379569</v>
      </c>
      <c r="CV7" s="53" t="s">
        <v>97</v>
      </c>
      <c r="CW7" s="46">
        <v>1.63</v>
      </c>
      <c r="CX7" s="46">
        <v>0.41000000000000014</v>
      </c>
      <c r="CY7" s="72">
        <f t="shared" si="9"/>
        <v>0.25153374233128845</v>
      </c>
      <c r="CZ7" s="72">
        <f t="shared" si="10"/>
        <v>3.9756097560975592</v>
      </c>
    </row>
    <row r="8" spans="1:104" ht="16.8" thickBot="1" x14ac:dyDescent="0.4">
      <c r="A8" s="75" t="s">
        <v>150</v>
      </c>
      <c r="B8" s="75">
        <v>8.36</v>
      </c>
      <c r="C8" s="75">
        <f>11.92-10.08</f>
        <v>1.8399999999999999</v>
      </c>
      <c r="D8" s="42"/>
      <c r="E8" s="75">
        <v>10.08</v>
      </c>
      <c r="G8" s="75" t="s">
        <v>150</v>
      </c>
      <c r="H8" s="75">
        <v>8.36</v>
      </c>
      <c r="I8" s="75">
        <f>11.92-10.08</f>
        <v>1.8399999999999999</v>
      </c>
      <c r="K8" s="44" t="s">
        <v>192</v>
      </c>
      <c r="L8" s="46">
        <f>AVERAGE(H15)</f>
        <v>1.78</v>
      </c>
      <c r="M8" s="46">
        <f>AVERAGE(I15)</f>
        <v>0.44999999999999929</v>
      </c>
      <c r="N8" s="46">
        <f t="shared" si="2"/>
        <v>0.25280898876404456</v>
      </c>
      <c r="O8" s="46">
        <f t="shared" si="3"/>
        <v>3.9555555555555619</v>
      </c>
      <c r="R8" s="75" t="s">
        <v>164</v>
      </c>
      <c r="S8" s="75">
        <v>102.55</v>
      </c>
      <c r="T8" s="75">
        <v>25.16</v>
      </c>
      <c r="U8" s="42"/>
      <c r="V8" s="42"/>
      <c r="X8" s="44" t="s">
        <v>198</v>
      </c>
      <c r="Y8" s="83">
        <v>17.149999999999999</v>
      </c>
      <c r="Z8" s="60">
        <v>4.7799999999999994</v>
      </c>
      <c r="AA8" s="84">
        <f t="shared" si="4"/>
        <v>0.27871720116618076</v>
      </c>
      <c r="AB8" s="83">
        <f t="shared" si="5"/>
        <v>3.5878661087866113</v>
      </c>
      <c r="AC8" s="37"/>
      <c r="AD8" s="37"/>
      <c r="AE8" s="37"/>
      <c r="AF8" s="37"/>
      <c r="AG8" s="37"/>
      <c r="AH8" s="75" t="s">
        <v>178</v>
      </c>
      <c r="AI8" s="75">
        <v>28.01</v>
      </c>
      <c r="AJ8" s="75">
        <f>12.92-10.08</f>
        <v>2.84</v>
      </c>
      <c r="AL8" s="44" t="s">
        <v>204</v>
      </c>
      <c r="AM8" s="37">
        <f>AVERAGE(AI15)</f>
        <v>6.48</v>
      </c>
      <c r="AN8" s="37">
        <f>AVERAGE(AJ15)</f>
        <v>1.7400000000000002</v>
      </c>
      <c r="AO8" s="37">
        <f t="shared" si="6"/>
        <v>0.26851851851851855</v>
      </c>
      <c r="AP8" s="37">
        <f t="shared" si="7"/>
        <v>3.7241379310344827</v>
      </c>
      <c r="AZ8" s="37"/>
      <c r="BA8" s="37"/>
      <c r="BB8" s="37"/>
      <c r="BH8" s="37"/>
      <c r="BI8" s="37"/>
      <c r="BJ8" s="37"/>
      <c r="BK8" s="37"/>
      <c r="BL8" s="37"/>
      <c r="BM8" s="37"/>
      <c r="BN8" s="37"/>
      <c r="BS8" s="54" t="s">
        <v>98</v>
      </c>
      <c r="BT8" s="46">
        <v>1.78</v>
      </c>
      <c r="BU8" s="46">
        <v>0.44999999999999929</v>
      </c>
      <c r="BV8" s="60">
        <f t="shared" si="8"/>
        <v>2.9555555555555619</v>
      </c>
      <c r="CV8" s="54" t="s">
        <v>98</v>
      </c>
      <c r="CW8" s="46">
        <v>1.78</v>
      </c>
      <c r="CX8" s="46">
        <v>0.44999999999999929</v>
      </c>
      <c r="CY8" s="72">
        <f t="shared" si="9"/>
        <v>0.25280898876404456</v>
      </c>
      <c r="CZ8" s="72">
        <f t="shared" si="10"/>
        <v>3.9555555555555619</v>
      </c>
    </row>
    <row r="9" spans="1:104" ht="15" thickBot="1" x14ac:dyDescent="0.35">
      <c r="A9" s="75" t="s">
        <v>151</v>
      </c>
      <c r="B9" s="75">
        <v>10.92</v>
      </c>
      <c r="C9" s="75">
        <f>12.58-10.08</f>
        <v>2.5</v>
      </c>
      <c r="D9" s="42"/>
      <c r="E9" s="75">
        <v>10.08</v>
      </c>
      <c r="G9" s="75" t="s">
        <v>151</v>
      </c>
      <c r="H9" s="75">
        <v>10.92</v>
      </c>
      <c r="I9" s="75">
        <f>12.58-10.08</f>
        <v>2.5</v>
      </c>
      <c r="K9" s="37"/>
      <c r="L9" s="37"/>
      <c r="M9" s="37"/>
      <c r="N9" s="37"/>
      <c r="O9" s="37"/>
      <c r="R9" s="75" t="s">
        <v>165</v>
      </c>
      <c r="S9" s="75">
        <v>114.49</v>
      </c>
      <c r="T9" s="75">
        <v>26.27</v>
      </c>
      <c r="U9" s="42"/>
      <c r="V9" s="42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75" t="s">
        <v>179</v>
      </c>
      <c r="AI9" s="75">
        <v>36.520000000000003</v>
      </c>
      <c r="AJ9" s="75">
        <f>16-10.08</f>
        <v>5.92</v>
      </c>
      <c r="AL9" s="37"/>
      <c r="AM9" s="37"/>
      <c r="AN9" s="37"/>
      <c r="AO9" s="37"/>
      <c r="AP9" s="37"/>
      <c r="BH9" s="37"/>
      <c r="BI9" s="37"/>
      <c r="BJ9" s="37"/>
      <c r="BK9" s="37"/>
      <c r="BL9" s="37"/>
      <c r="BM9" s="37"/>
      <c r="BN9" s="37"/>
      <c r="BS9" s="37"/>
      <c r="BT9" s="37">
        <f>BT8*100/BT3</f>
        <v>13.316708229426434</v>
      </c>
      <c r="BU9" s="37">
        <f>BU8*100/BU3</f>
        <v>12.711864406779643</v>
      </c>
      <c r="BV9" s="37">
        <f>BV8*100/BV3</f>
        <v>106.47218453188623</v>
      </c>
    </row>
    <row r="10" spans="1:104" ht="16.2" thickBot="1" x14ac:dyDescent="0.35">
      <c r="A10" s="75" t="s">
        <v>152</v>
      </c>
      <c r="B10" s="75">
        <v>8.18</v>
      </c>
      <c r="C10" s="75">
        <f>11.92-10.08</f>
        <v>1.8399999999999999</v>
      </c>
      <c r="D10" s="42"/>
      <c r="E10" s="75">
        <v>10.08</v>
      </c>
      <c r="G10" s="75" t="s">
        <v>152</v>
      </c>
      <c r="H10" s="75">
        <v>8.18</v>
      </c>
      <c r="I10" s="75">
        <f>11.92-10.08</f>
        <v>1.8399999999999999</v>
      </c>
      <c r="K10" s="37"/>
      <c r="L10" s="37"/>
      <c r="M10" s="37"/>
      <c r="N10" s="37"/>
      <c r="O10" s="37"/>
      <c r="R10" s="75" t="s">
        <v>166</v>
      </c>
      <c r="S10" s="75">
        <v>104.69</v>
      </c>
      <c r="T10" s="75">
        <v>25.87</v>
      </c>
      <c r="U10" s="42"/>
      <c r="V10" s="42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75" t="s">
        <v>180</v>
      </c>
      <c r="AI10" s="75">
        <v>33.18</v>
      </c>
      <c r="AJ10" s="75">
        <f>15.54-10.08</f>
        <v>5.4599999999999991</v>
      </c>
      <c r="AL10" s="37"/>
      <c r="AM10" s="37"/>
      <c r="AN10" s="37"/>
      <c r="AO10" s="37"/>
      <c r="AP10" s="37"/>
      <c r="BH10" s="86" t="s">
        <v>44</v>
      </c>
      <c r="BI10" s="36" t="s">
        <v>56</v>
      </c>
      <c r="BJ10" s="37"/>
      <c r="BK10" s="86" t="s">
        <v>44</v>
      </c>
      <c r="BL10" s="36" t="s">
        <v>57</v>
      </c>
      <c r="BM10" s="37"/>
      <c r="BN10" s="86" t="s">
        <v>44</v>
      </c>
      <c r="BO10" s="36" t="s">
        <v>58</v>
      </c>
      <c r="BS10" s="37"/>
      <c r="BT10" s="37">
        <f>100-BT9</f>
        <v>86.683291770573561</v>
      </c>
      <c r="BU10" s="37">
        <f>100-BU9</f>
        <v>87.28813559322036</v>
      </c>
      <c r="BV10" s="37"/>
    </row>
    <row r="11" spans="1:104" ht="16.8" thickBot="1" x14ac:dyDescent="0.4">
      <c r="A11" s="75" t="s">
        <v>153</v>
      </c>
      <c r="B11" s="75">
        <v>5.25</v>
      </c>
      <c r="C11" s="75">
        <f>11.13-10.08</f>
        <v>1.0500000000000007</v>
      </c>
      <c r="D11" s="42"/>
      <c r="E11" s="75">
        <v>10.08</v>
      </c>
      <c r="G11" s="75" t="s">
        <v>153</v>
      </c>
      <c r="H11" s="75">
        <v>5.25</v>
      </c>
      <c r="I11" s="75">
        <f>11.13-10.08</f>
        <v>1.0500000000000007</v>
      </c>
      <c r="K11" s="155" t="s">
        <v>71</v>
      </c>
      <c r="L11" s="155"/>
      <c r="M11" s="155"/>
      <c r="N11" s="155"/>
      <c r="O11" s="37"/>
      <c r="R11" s="75" t="s">
        <v>167</v>
      </c>
      <c r="S11" s="75">
        <v>54.33</v>
      </c>
      <c r="T11" s="75">
        <f>21.85-10.08</f>
        <v>11.770000000000001</v>
      </c>
      <c r="U11" s="42"/>
      <c r="V11" s="42"/>
      <c r="X11" s="155" t="s">
        <v>74</v>
      </c>
      <c r="Y11" s="155"/>
      <c r="Z11" s="155"/>
      <c r="AA11" s="155"/>
      <c r="AB11" s="37"/>
      <c r="AC11" s="37"/>
      <c r="AD11" s="155" t="s">
        <v>76</v>
      </c>
      <c r="AE11" s="155"/>
      <c r="AF11" s="155"/>
      <c r="AG11" s="155"/>
      <c r="AH11" s="75" t="s">
        <v>181</v>
      </c>
      <c r="AI11" s="75">
        <v>21.74</v>
      </c>
      <c r="AJ11" s="75">
        <f>12.67-10.08</f>
        <v>2.59</v>
      </c>
      <c r="AL11" s="155" t="s">
        <v>100</v>
      </c>
      <c r="AM11" s="155"/>
      <c r="AN11" s="155"/>
      <c r="AO11" s="155"/>
      <c r="AP11" s="37"/>
      <c r="AR11" s="86" t="s">
        <v>44</v>
      </c>
      <c r="AS11" s="87" t="s">
        <v>102</v>
      </c>
      <c r="AT11" s="87" t="s">
        <v>103</v>
      </c>
      <c r="AU11" s="87" t="s">
        <v>72</v>
      </c>
      <c r="AV11" s="88" t="s">
        <v>75</v>
      </c>
      <c r="AW11" s="41" t="s">
        <v>80</v>
      </c>
      <c r="BH11" s="53" t="s">
        <v>47</v>
      </c>
      <c r="BI11" s="37">
        <v>3.5399999999999996</v>
      </c>
      <c r="BJ11" s="37"/>
      <c r="BK11" s="53" t="s">
        <v>47</v>
      </c>
      <c r="BL11" s="60">
        <v>40.486666666666672</v>
      </c>
      <c r="BM11" s="37"/>
      <c r="BN11" s="53" t="s">
        <v>47</v>
      </c>
      <c r="BO11" s="60">
        <v>7.993333333333335</v>
      </c>
      <c r="BS11" s="86" t="s">
        <v>44</v>
      </c>
      <c r="BT11" s="41" t="s">
        <v>101</v>
      </c>
      <c r="BU11" s="36" t="s">
        <v>57</v>
      </c>
      <c r="BV11" s="56" t="s">
        <v>108</v>
      </c>
      <c r="CV11" s="41" t="s">
        <v>73</v>
      </c>
      <c r="CW11" s="37"/>
      <c r="CX11" s="37"/>
    </row>
    <row r="12" spans="1:104" ht="16.2" x14ac:dyDescent="0.35">
      <c r="A12" s="75" t="s">
        <v>154</v>
      </c>
      <c r="B12" s="75">
        <v>5.67</v>
      </c>
      <c r="C12" s="75">
        <f>11.25-10.08</f>
        <v>1.17</v>
      </c>
      <c r="D12" s="42"/>
      <c r="E12" s="75">
        <v>10.08</v>
      </c>
      <c r="G12" s="75" t="s">
        <v>154</v>
      </c>
      <c r="H12" s="75">
        <v>5.67</v>
      </c>
      <c r="I12" s="75">
        <f>11.25-10.08</f>
        <v>1.17</v>
      </c>
      <c r="K12" s="41" t="s">
        <v>63</v>
      </c>
      <c r="L12" s="41" t="s">
        <v>72</v>
      </c>
      <c r="M12" s="37"/>
      <c r="N12" s="37"/>
      <c r="O12" s="37"/>
      <c r="R12" s="75" t="s">
        <v>168</v>
      </c>
      <c r="S12" s="75">
        <v>48.58</v>
      </c>
      <c r="T12" s="75">
        <f>23-10.08</f>
        <v>12.92</v>
      </c>
      <c r="U12" s="42"/>
      <c r="V12" s="42"/>
      <c r="X12" s="41" t="s">
        <v>63</v>
      </c>
      <c r="Y12" s="85" t="s">
        <v>75</v>
      </c>
      <c r="Z12" s="37"/>
      <c r="AA12" s="37"/>
      <c r="AB12" s="37"/>
      <c r="AC12" s="37"/>
      <c r="AD12" s="41" t="s">
        <v>63</v>
      </c>
      <c r="AE12" s="41" t="s">
        <v>77</v>
      </c>
      <c r="AF12" s="41" t="s">
        <v>78</v>
      </c>
      <c r="AG12" s="37"/>
      <c r="AH12" s="75" t="s">
        <v>182</v>
      </c>
      <c r="AI12" s="75">
        <v>14.5</v>
      </c>
      <c r="AJ12" s="75">
        <f>12.47-10.08</f>
        <v>2.3900000000000006</v>
      </c>
      <c r="AL12" s="41" t="s">
        <v>63</v>
      </c>
      <c r="AM12" s="41" t="s">
        <v>80</v>
      </c>
      <c r="AN12" s="37"/>
      <c r="AO12" s="37"/>
      <c r="AP12" s="37"/>
      <c r="AR12" s="53" t="s">
        <v>47</v>
      </c>
      <c r="AS12" s="60">
        <v>7.8135655969291312E-2</v>
      </c>
      <c r="AT12" s="60">
        <v>8.7436192985344954E-2</v>
      </c>
      <c r="AU12" s="60">
        <v>73.516209476309228</v>
      </c>
      <c r="AV12" s="60">
        <v>76.333274877730361</v>
      </c>
      <c r="AW12" s="60">
        <v>73.581579817120186</v>
      </c>
      <c r="BH12" s="53" t="s">
        <v>48</v>
      </c>
      <c r="BI12" s="60">
        <v>2.3466666666666662</v>
      </c>
      <c r="BJ12" s="37"/>
      <c r="BK12" s="53" t="s">
        <v>48</v>
      </c>
      <c r="BL12" s="60">
        <v>39.306666666666672</v>
      </c>
      <c r="BM12" s="37"/>
      <c r="BN12" s="53" t="s">
        <v>48</v>
      </c>
      <c r="BO12" s="60">
        <v>9.1366666666666685</v>
      </c>
      <c r="BS12" s="53" t="s">
        <v>47</v>
      </c>
      <c r="BT12" s="37">
        <v>171.07000000000002</v>
      </c>
      <c r="BU12" s="60">
        <v>40.486666666666672</v>
      </c>
      <c r="BV12" s="60">
        <f t="shared" ref="BV12:BV17" si="11">(BT12-BU12)/BU12</f>
        <v>3.2253416762720235</v>
      </c>
      <c r="CV12" s="86" t="s">
        <v>44</v>
      </c>
      <c r="CW12" s="41" t="s">
        <v>101</v>
      </c>
      <c r="CX12" s="36" t="s">
        <v>57</v>
      </c>
      <c r="CY12" s="41" t="s">
        <v>69</v>
      </c>
      <c r="CZ12" s="41" t="s">
        <v>70</v>
      </c>
    </row>
    <row r="13" spans="1:104" ht="16.2" x14ac:dyDescent="0.35">
      <c r="A13" s="75" t="s">
        <v>155</v>
      </c>
      <c r="B13" s="75">
        <v>3.88</v>
      </c>
      <c r="C13" s="75">
        <f>10.95-10.08</f>
        <v>0.86999999999999922</v>
      </c>
      <c r="D13" s="42"/>
      <c r="E13" s="75">
        <v>10.08</v>
      </c>
      <c r="G13" s="75" t="s">
        <v>155</v>
      </c>
      <c r="H13" s="75">
        <v>3.88</v>
      </c>
      <c r="I13" s="75">
        <f>10.95-10.08</f>
        <v>0.86999999999999922</v>
      </c>
      <c r="K13" s="44" t="s">
        <v>187</v>
      </c>
      <c r="L13" s="37">
        <f t="shared" ref="L13:L18" si="12">((L3-M3)/L3)*100</f>
        <v>73.516209476309228</v>
      </c>
      <c r="M13" s="37"/>
      <c r="N13" s="37"/>
      <c r="O13" s="37"/>
      <c r="R13" s="75" t="s">
        <v>169</v>
      </c>
      <c r="S13" s="75">
        <v>37.07</v>
      </c>
      <c r="T13" s="75">
        <f>19.96-10.08</f>
        <v>9.8800000000000008</v>
      </c>
      <c r="U13" s="42"/>
      <c r="V13" s="42"/>
      <c r="X13" s="44" t="s">
        <v>193</v>
      </c>
      <c r="Y13" s="37">
        <f t="shared" ref="Y13:Y18" si="13">((Y3-Z3)/Y3)*100</f>
        <v>75.919732441471581</v>
      </c>
      <c r="Z13" s="37"/>
      <c r="AA13" s="37"/>
      <c r="AB13" s="37"/>
      <c r="AC13" s="37"/>
      <c r="AD13" s="44" t="s">
        <v>27</v>
      </c>
      <c r="AE13" s="60">
        <f t="shared" ref="AE13:AF18" si="14">Y23/Y3</f>
        <v>6.6392926918109871E-2</v>
      </c>
      <c r="AF13" s="60">
        <f t="shared" si="14"/>
        <v>7.3019801980198015E-2</v>
      </c>
      <c r="AG13" s="37"/>
      <c r="AH13" s="75" t="s">
        <v>183</v>
      </c>
      <c r="AI13" s="75">
        <v>12.34</v>
      </c>
      <c r="AJ13" s="75">
        <f>11.24-10.08</f>
        <v>1.1600000000000001</v>
      </c>
      <c r="AL13" s="44" t="s">
        <v>199</v>
      </c>
      <c r="AM13" s="37">
        <f t="shared" ref="AM13:AM18" si="15">((AM3-AN3)/AM3)*100</f>
        <v>73.581579817120186</v>
      </c>
      <c r="AN13" s="37"/>
      <c r="AO13" s="37"/>
      <c r="AP13" s="37"/>
      <c r="AR13" s="53" t="s">
        <v>48</v>
      </c>
      <c r="AS13" s="60">
        <v>8.0857272422563534E-2</v>
      </c>
      <c r="AT13" s="60">
        <v>5.9701492537313411E-2</v>
      </c>
      <c r="AU13" s="60">
        <v>82.833455254815902</v>
      </c>
      <c r="AV13" s="60">
        <v>76.750330250990757</v>
      </c>
      <c r="AW13" s="60">
        <v>81.754642880915924</v>
      </c>
      <c r="BH13" s="53" t="s">
        <v>49</v>
      </c>
      <c r="BI13" s="37">
        <v>2.06</v>
      </c>
      <c r="BJ13" s="37"/>
      <c r="BK13" s="53" t="s">
        <v>49</v>
      </c>
      <c r="BL13" s="60">
        <v>25.766666666666666</v>
      </c>
      <c r="BM13" s="37"/>
      <c r="BN13" s="53" t="s">
        <v>49</v>
      </c>
      <c r="BO13" s="37">
        <v>4.7399999999999993</v>
      </c>
      <c r="BS13" s="53" t="s">
        <v>48</v>
      </c>
      <c r="BT13" s="60">
        <v>169.06333333333336</v>
      </c>
      <c r="BU13" s="60">
        <v>39.306666666666672</v>
      </c>
      <c r="BV13" s="60">
        <f t="shared" si="11"/>
        <v>3.3011363636363638</v>
      </c>
      <c r="CV13" s="53" t="s">
        <v>47</v>
      </c>
      <c r="CW13" s="37">
        <v>171.07000000000002</v>
      </c>
      <c r="CX13" s="60">
        <v>40.486666666666672</v>
      </c>
      <c r="CY13" s="90">
        <f t="shared" ref="CY13:CY18" si="16">CX13/CW13</f>
        <v>0.23666725122269636</v>
      </c>
      <c r="CZ13" s="90">
        <f t="shared" ref="CZ13:CZ18" si="17">CW13/CX13</f>
        <v>4.2253416762720235</v>
      </c>
    </row>
    <row r="14" spans="1:104" ht="16.2" x14ac:dyDescent="0.35">
      <c r="A14" s="76" t="s">
        <v>156</v>
      </c>
      <c r="B14" s="76">
        <v>1.63</v>
      </c>
      <c r="C14" s="76">
        <f>10.49-10.08</f>
        <v>0.41000000000000014</v>
      </c>
      <c r="D14" s="42"/>
      <c r="E14" s="75">
        <v>10.08</v>
      </c>
      <c r="G14" s="76" t="s">
        <v>156</v>
      </c>
      <c r="H14" s="76">
        <v>1.63</v>
      </c>
      <c r="I14" s="76">
        <f>10.49-10.08</f>
        <v>0.41000000000000014</v>
      </c>
      <c r="K14" s="44" t="s">
        <v>188</v>
      </c>
      <c r="L14" s="37">
        <f t="shared" si="12"/>
        <v>82.833455254815902</v>
      </c>
      <c r="M14" s="37"/>
      <c r="N14" s="37"/>
      <c r="O14" s="37"/>
      <c r="R14" s="76" t="s">
        <v>170</v>
      </c>
      <c r="S14" s="75">
        <v>13.42</v>
      </c>
      <c r="T14" s="75">
        <f>13.9-10.08</f>
        <v>3.8200000000000003</v>
      </c>
      <c r="U14" s="42"/>
      <c r="V14" s="42"/>
      <c r="X14" s="44" t="s">
        <v>194</v>
      </c>
      <c r="Y14" s="37">
        <f t="shared" si="13"/>
        <v>77.893888229746594</v>
      </c>
      <c r="Z14" s="37"/>
      <c r="AA14" s="37"/>
      <c r="AB14" s="37"/>
      <c r="AC14" s="37"/>
      <c r="AD14" s="44" t="s">
        <v>28</v>
      </c>
      <c r="AE14" s="60">
        <f t="shared" si="14"/>
        <v>6.2380213562106428E-2</v>
      </c>
      <c r="AF14" s="60">
        <f t="shared" si="14"/>
        <v>4.8441478015550814E-2</v>
      </c>
      <c r="AG14" s="37"/>
      <c r="AH14" s="76" t="s">
        <v>184</v>
      </c>
      <c r="AI14" s="76">
        <v>3.8</v>
      </c>
      <c r="AJ14" s="76">
        <f>11.1-10.08</f>
        <v>1.0199999999999996</v>
      </c>
      <c r="AL14" s="44" t="s">
        <v>200</v>
      </c>
      <c r="AM14" s="37">
        <f t="shared" si="15"/>
        <v>81.754642880915924</v>
      </c>
      <c r="AN14" s="37"/>
      <c r="AO14" s="37"/>
      <c r="AP14" s="37"/>
      <c r="AR14" s="53" t="s">
        <v>49</v>
      </c>
      <c r="AS14" s="60">
        <v>8.5351070773630064E-2</v>
      </c>
      <c r="AT14" s="60">
        <v>7.9948253557567919E-2</v>
      </c>
      <c r="AU14" s="60">
        <v>77.494537509104148</v>
      </c>
      <c r="AV14" s="60">
        <v>75.973642495260009</v>
      </c>
      <c r="AW14" s="60">
        <v>85.446730119742099</v>
      </c>
      <c r="BH14" s="53" t="s">
        <v>50</v>
      </c>
      <c r="BI14" s="37">
        <v>1.03</v>
      </c>
      <c r="BJ14" s="37"/>
      <c r="BK14" s="53" t="s">
        <v>50</v>
      </c>
      <c r="BL14" s="60">
        <v>11.523333333333333</v>
      </c>
      <c r="BM14" s="37"/>
      <c r="BN14" s="53" t="s">
        <v>50</v>
      </c>
      <c r="BO14" s="60">
        <v>2.0466666666666669</v>
      </c>
      <c r="BS14" s="53" t="s">
        <v>49</v>
      </c>
      <c r="BT14" s="60">
        <v>107.24333333333334</v>
      </c>
      <c r="BU14" s="60">
        <v>25.766666666666666</v>
      </c>
      <c r="BV14" s="60">
        <f t="shared" si="11"/>
        <v>3.1620957309184998</v>
      </c>
      <c r="CV14" s="53" t="s">
        <v>48</v>
      </c>
      <c r="CW14" s="60">
        <v>169.06333333333336</v>
      </c>
      <c r="CX14" s="60">
        <v>39.306666666666672</v>
      </c>
      <c r="CY14" s="90">
        <f t="shared" si="16"/>
        <v>0.23249669749009247</v>
      </c>
      <c r="CZ14" s="90">
        <f t="shared" si="17"/>
        <v>4.3011363636363642</v>
      </c>
    </row>
    <row r="15" spans="1:104" ht="16.2" x14ac:dyDescent="0.35">
      <c r="A15" s="77" t="s">
        <v>157</v>
      </c>
      <c r="B15" s="76">
        <v>1.78</v>
      </c>
      <c r="C15" s="76">
        <f>10.53-10.08</f>
        <v>0.44999999999999929</v>
      </c>
      <c r="D15" s="42"/>
      <c r="E15" s="75">
        <v>10.08</v>
      </c>
      <c r="G15" s="77" t="s">
        <v>157</v>
      </c>
      <c r="H15" s="76">
        <v>1.78</v>
      </c>
      <c r="I15" s="76">
        <f>10.53-10.08</f>
        <v>0.44999999999999929</v>
      </c>
      <c r="K15" s="45" t="s">
        <v>189</v>
      </c>
      <c r="L15" s="37">
        <f t="shared" si="12"/>
        <v>77.494537509104148</v>
      </c>
      <c r="M15" s="37"/>
      <c r="N15" s="37"/>
      <c r="O15" s="37"/>
      <c r="R15" s="77" t="s">
        <v>171</v>
      </c>
      <c r="S15" s="77" t="s">
        <v>67</v>
      </c>
      <c r="T15" s="78">
        <f>13.12-10.08</f>
        <v>3.0399999999999991</v>
      </c>
      <c r="U15" s="142"/>
      <c r="V15" s="142"/>
      <c r="X15" s="45" t="s">
        <v>195</v>
      </c>
      <c r="Y15" s="37">
        <f t="shared" si="13"/>
        <v>78.180431050925051</v>
      </c>
      <c r="Z15" s="37"/>
      <c r="AA15" s="37"/>
      <c r="AB15" s="37"/>
      <c r="AC15" s="37"/>
      <c r="AD15" s="45" t="s">
        <v>29</v>
      </c>
      <c r="AE15" s="60">
        <f t="shared" si="14"/>
        <v>6.5468243372115209E-2</v>
      </c>
      <c r="AF15" s="60">
        <f t="shared" si="14"/>
        <v>6.752622377622379E-2</v>
      </c>
      <c r="AG15" s="37"/>
      <c r="AH15" s="80" t="s">
        <v>185</v>
      </c>
      <c r="AI15" s="81">
        <v>6.48</v>
      </c>
      <c r="AJ15" s="48">
        <f>11.82-10.08</f>
        <v>1.7400000000000002</v>
      </c>
      <c r="AL15" s="45" t="s">
        <v>201</v>
      </c>
      <c r="AM15" s="37">
        <f t="shared" si="15"/>
        <v>85.446730119742099</v>
      </c>
      <c r="AN15" s="37"/>
      <c r="AO15" s="37"/>
      <c r="AP15" s="37"/>
      <c r="AR15" s="53" t="s">
        <v>50</v>
      </c>
      <c r="AS15" s="60">
        <v>0.10572938991284471</v>
      </c>
      <c r="AT15" s="60">
        <v>8.9383858837142033E-2</v>
      </c>
      <c r="AU15" s="60">
        <v>79.121621621621614</v>
      </c>
      <c r="AV15" s="60">
        <v>75.303614802114581</v>
      </c>
      <c r="AW15" s="60">
        <v>87.361053931659114</v>
      </c>
      <c r="BH15" s="53" t="s">
        <v>97</v>
      </c>
      <c r="BI15" s="46">
        <v>0.41000000000000014</v>
      </c>
      <c r="BK15" s="53" t="s">
        <v>97</v>
      </c>
      <c r="BL15" s="37">
        <v>3.8200000000000003</v>
      </c>
      <c r="BN15" s="53" t="s">
        <v>97</v>
      </c>
      <c r="BO15" s="37">
        <v>1.0199999999999996</v>
      </c>
      <c r="BS15" s="53" t="s">
        <v>50</v>
      </c>
      <c r="BT15" s="37">
        <v>46.66</v>
      </c>
      <c r="BU15" s="60">
        <v>11.523333333333333</v>
      </c>
      <c r="BV15" s="60">
        <f t="shared" si="11"/>
        <v>3.0491755857680065</v>
      </c>
      <c r="CV15" s="53" t="s">
        <v>49</v>
      </c>
      <c r="CW15" s="60">
        <v>107.24333333333334</v>
      </c>
      <c r="CX15" s="60">
        <v>25.766666666666666</v>
      </c>
      <c r="CY15" s="90">
        <f t="shared" si="16"/>
        <v>0.24026357504739998</v>
      </c>
      <c r="CZ15" s="90">
        <f t="shared" si="17"/>
        <v>4.1620957309184998</v>
      </c>
    </row>
    <row r="16" spans="1:104" ht="16.8" thickBot="1" x14ac:dyDescent="0.4">
      <c r="A16" s="75" t="s">
        <v>158</v>
      </c>
      <c r="B16" s="75">
        <v>168.4</v>
      </c>
      <c r="C16" s="75">
        <v>37.53</v>
      </c>
      <c r="D16" s="42"/>
      <c r="E16" s="75">
        <v>10.08</v>
      </c>
      <c r="K16" s="44" t="s">
        <v>190</v>
      </c>
      <c r="L16" s="37">
        <f t="shared" si="12"/>
        <v>79.121621621621614</v>
      </c>
      <c r="M16" s="37"/>
      <c r="N16" s="37"/>
      <c r="O16" s="37"/>
      <c r="S16" s="85" t="s">
        <v>137</v>
      </c>
      <c r="T16" s="85" t="s">
        <v>138</v>
      </c>
      <c r="U16" s="143" t="s">
        <v>135</v>
      </c>
      <c r="V16" s="144" t="s">
        <v>26</v>
      </c>
      <c r="X16" s="44" t="s">
        <v>196</v>
      </c>
      <c r="Y16" s="37">
        <f t="shared" si="13"/>
        <v>78.410055154857872</v>
      </c>
      <c r="Z16" s="37"/>
      <c r="AA16" s="37"/>
      <c r="AB16" s="37"/>
      <c r="AC16" s="37"/>
      <c r="AD16" s="44" t="s">
        <v>30</v>
      </c>
      <c r="AE16" s="60">
        <f t="shared" si="14"/>
        <v>7.8489605430632173E-2</v>
      </c>
      <c r="AF16" s="60">
        <f t="shared" si="14"/>
        <v>7.5902726602800299E-2</v>
      </c>
      <c r="AG16" s="37"/>
      <c r="AL16" s="44" t="s">
        <v>202</v>
      </c>
      <c r="AM16" s="37">
        <f t="shared" si="15"/>
        <v>87.361053931659114</v>
      </c>
      <c r="AN16" s="37"/>
      <c r="AO16" s="37"/>
      <c r="AP16" s="37"/>
      <c r="AR16" s="53" t="s">
        <v>97</v>
      </c>
      <c r="AS16" s="60">
        <v>0.12146050670640834</v>
      </c>
      <c r="AT16" s="60">
        <v>0.1073298429319372</v>
      </c>
      <c r="AU16" s="99">
        <v>74.846625766871156</v>
      </c>
      <c r="AV16" s="60">
        <v>71.53502235469449</v>
      </c>
      <c r="AW16" s="60">
        <v>73.15789473684211</v>
      </c>
      <c r="BH16" s="54" t="s">
        <v>98</v>
      </c>
      <c r="BI16" s="46">
        <v>0.44999999999999929</v>
      </c>
      <c r="BK16" s="54" t="s">
        <v>98</v>
      </c>
      <c r="BL16" s="37">
        <v>3.0399999999999991</v>
      </c>
      <c r="BN16" s="54" t="s">
        <v>98</v>
      </c>
      <c r="BO16" s="37">
        <v>1.7400000000000002</v>
      </c>
      <c r="BS16" s="53" t="s">
        <v>97</v>
      </c>
      <c r="BT16" s="37">
        <v>13.42</v>
      </c>
      <c r="BU16" s="37">
        <v>3.8200000000000003</v>
      </c>
      <c r="BV16" s="60">
        <f t="shared" si="11"/>
        <v>2.5130890052356016</v>
      </c>
      <c r="CV16" s="53" t="s">
        <v>50</v>
      </c>
      <c r="CW16" s="37">
        <v>46.66</v>
      </c>
      <c r="CX16" s="60">
        <v>11.523333333333333</v>
      </c>
      <c r="CY16" s="90">
        <f t="shared" si="16"/>
        <v>0.24696385197885415</v>
      </c>
      <c r="CZ16" s="90">
        <f t="shared" si="17"/>
        <v>4.0491755857680065</v>
      </c>
    </row>
    <row r="17" spans="1:104" ht="16.8" thickBot="1" x14ac:dyDescent="0.4">
      <c r="A17" s="75" t="s">
        <v>159</v>
      </c>
      <c r="B17" s="75">
        <v>160.77000000000001</v>
      </c>
      <c r="C17" s="75">
        <v>41.5</v>
      </c>
      <c r="D17" s="42"/>
      <c r="E17" s="75">
        <v>10.08</v>
      </c>
      <c r="K17" s="44" t="s">
        <v>191</v>
      </c>
      <c r="L17" s="46">
        <f t="shared" si="12"/>
        <v>74.846625766871156</v>
      </c>
      <c r="M17" s="37"/>
      <c r="N17" s="37"/>
      <c r="O17" s="37"/>
      <c r="R17" s="75" t="s">
        <v>158</v>
      </c>
      <c r="S17" s="75">
        <v>168.4</v>
      </c>
      <c r="T17" s="75">
        <v>40.229999999999997</v>
      </c>
      <c r="U17" s="42">
        <f>S17+T17</f>
        <v>208.63</v>
      </c>
      <c r="V17" s="42">
        <f>AVERAGE(U17:U19)</f>
        <v>201.32666666666668</v>
      </c>
      <c r="X17" s="44" t="s">
        <v>197</v>
      </c>
      <c r="Y17" s="37">
        <f t="shared" si="13"/>
        <v>71.893147502903602</v>
      </c>
      <c r="Z17" s="37"/>
      <c r="AA17" s="37"/>
      <c r="AB17" s="37"/>
      <c r="AC17" s="37"/>
      <c r="AD17" s="41">
        <v>1.4</v>
      </c>
      <c r="AE17" s="60">
        <f t="shared" si="14"/>
        <v>9.4657375145180023E-2</v>
      </c>
      <c r="AF17" s="60">
        <f t="shared" si="14"/>
        <v>8.471074380165293E-2</v>
      </c>
      <c r="AG17" s="37"/>
      <c r="AL17" s="44" t="s">
        <v>203</v>
      </c>
      <c r="AM17" s="37">
        <f t="shared" si="15"/>
        <v>73.15789473684211</v>
      </c>
      <c r="AN17" s="37"/>
      <c r="AO17" s="37"/>
      <c r="AP17" s="37"/>
      <c r="AR17" s="54" t="s">
        <v>98</v>
      </c>
      <c r="AS17" s="141">
        <v>0.16682286785379569</v>
      </c>
      <c r="AT17" s="60">
        <v>0.14802631578947348</v>
      </c>
      <c r="AU17" s="99">
        <v>74.71910112359555</v>
      </c>
      <c r="AV17" s="60">
        <v>71.508903467666357</v>
      </c>
      <c r="AW17" s="60">
        <v>73.148148148148152</v>
      </c>
      <c r="BS17" s="54" t="s">
        <v>98</v>
      </c>
      <c r="BT17" s="89">
        <v>10.67</v>
      </c>
      <c r="BU17" s="37">
        <v>3.0399999999999991</v>
      </c>
      <c r="BV17" s="60">
        <f t="shared" si="11"/>
        <v>2.5098684210526327</v>
      </c>
      <c r="CV17" s="53" t="s">
        <v>97</v>
      </c>
      <c r="CW17" s="37">
        <v>13.42</v>
      </c>
      <c r="CX17" s="37">
        <v>3.8200000000000003</v>
      </c>
      <c r="CY17" s="90">
        <f t="shared" si="16"/>
        <v>0.28464977645305517</v>
      </c>
      <c r="CZ17" s="90">
        <f t="shared" si="17"/>
        <v>3.5130890052356016</v>
      </c>
    </row>
    <row r="18" spans="1:104" ht="16.8" thickBot="1" x14ac:dyDescent="0.4">
      <c r="A18" s="75" t="s">
        <v>160</v>
      </c>
      <c r="B18" s="75">
        <v>184.04</v>
      </c>
      <c r="C18" s="75">
        <v>42.43</v>
      </c>
      <c r="D18" s="42"/>
      <c r="E18" s="75">
        <v>10.08</v>
      </c>
      <c r="K18" s="44" t="s">
        <v>192</v>
      </c>
      <c r="L18" s="46">
        <f t="shared" si="12"/>
        <v>74.71910112359555</v>
      </c>
      <c r="M18" s="37"/>
      <c r="N18" s="37"/>
      <c r="O18" s="37"/>
      <c r="R18" s="75" t="s">
        <v>159</v>
      </c>
      <c r="S18" s="75">
        <v>160.77000000000001</v>
      </c>
      <c r="T18" s="75">
        <v>39.299999999999997</v>
      </c>
      <c r="U18" s="42">
        <f t="shared" ref="U18:U30" si="18">S18+T18</f>
        <v>200.07</v>
      </c>
      <c r="V18" s="42">
        <f>AVERAGE(U20:U22)</f>
        <v>219.14</v>
      </c>
      <c r="X18" s="44" t="s">
        <v>198</v>
      </c>
      <c r="Y18" s="37">
        <f t="shared" si="13"/>
        <v>72.128279883381936</v>
      </c>
      <c r="Z18" s="37"/>
      <c r="AA18" s="37"/>
      <c r="AB18" s="37"/>
      <c r="AC18" s="37"/>
      <c r="AD18" s="41">
        <v>1.5</v>
      </c>
      <c r="AE18" s="141">
        <f t="shared" si="14"/>
        <v>0.10379008746355686</v>
      </c>
      <c r="AF18" s="60">
        <f t="shared" si="14"/>
        <v>9.4142259414225798E-2</v>
      </c>
      <c r="AG18" s="37"/>
      <c r="AL18" s="44" t="s">
        <v>204</v>
      </c>
      <c r="AM18" s="37">
        <f t="shared" si="15"/>
        <v>73.148148148148152</v>
      </c>
      <c r="AN18" s="37"/>
      <c r="AO18" s="37"/>
      <c r="AP18" s="37"/>
      <c r="BS18" s="37"/>
      <c r="BT18" s="37">
        <f>BT17*100/BT12</f>
        <v>6.2372128368504116</v>
      </c>
      <c r="BU18" s="37">
        <f>BU17*100/BU12</f>
        <v>7.5086448213403552</v>
      </c>
      <c r="BV18" s="37">
        <f>BV17*100/BV12</f>
        <v>77.817132972827764</v>
      </c>
      <c r="CV18" s="54" t="s">
        <v>98</v>
      </c>
      <c r="CW18" s="89">
        <v>10.67</v>
      </c>
      <c r="CX18" s="37">
        <v>3.0399999999999991</v>
      </c>
      <c r="CY18" s="90">
        <f t="shared" si="16"/>
        <v>0.28491096532333637</v>
      </c>
      <c r="CZ18" s="90">
        <f t="shared" si="17"/>
        <v>3.5098684210526327</v>
      </c>
    </row>
    <row r="19" spans="1:104" ht="15" thickBot="1" x14ac:dyDescent="0.35">
      <c r="A19" s="75" t="s">
        <v>161</v>
      </c>
      <c r="B19" s="75">
        <v>186.88</v>
      </c>
      <c r="C19" s="75">
        <v>39.78</v>
      </c>
      <c r="D19" s="42"/>
      <c r="E19" s="75">
        <v>10.08</v>
      </c>
      <c r="R19" s="75" t="s">
        <v>160</v>
      </c>
      <c r="S19" s="75">
        <v>184.04</v>
      </c>
      <c r="T19" s="75">
        <v>11.24</v>
      </c>
      <c r="U19" s="42">
        <f t="shared" si="18"/>
        <v>195.28</v>
      </c>
      <c r="V19" s="42">
        <f>AVERAGE(U23:U25)</f>
        <v>139.81333333333333</v>
      </c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BS19" s="37"/>
      <c r="BT19" s="37">
        <f>100-BT18</f>
        <v>93.762787163149582</v>
      </c>
      <c r="BU19" s="37">
        <f>100-BU18</f>
        <v>92.491355178659646</v>
      </c>
      <c r="BV19" s="37">
        <f>100-BV18</f>
        <v>22.182867027172236</v>
      </c>
    </row>
    <row r="20" spans="1:104" ht="15.6" x14ac:dyDescent="0.3">
      <c r="A20" s="75" t="s">
        <v>162</v>
      </c>
      <c r="B20" s="75">
        <v>177.48</v>
      </c>
      <c r="C20" s="75">
        <v>35.4</v>
      </c>
      <c r="D20" s="42"/>
      <c r="E20" s="75">
        <v>10.08</v>
      </c>
      <c r="R20" s="75" t="s">
        <v>161</v>
      </c>
      <c r="S20" s="75">
        <v>186.88</v>
      </c>
      <c r="T20" s="75">
        <v>60.97</v>
      </c>
      <c r="U20" s="42">
        <f t="shared" si="18"/>
        <v>247.85</v>
      </c>
      <c r="V20" s="42">
        <f>AVERAGE(U26:U28)</f>
        <v>62.853333333333325</v>
      </c>
      <c r="BH20" s="86" t="s">
        <v>44</v>
      </c>
      <c r="BI20" s="36" t="s">
        <v>107</v>
      </c>
      <c r="BK20" s="86" t="s">
        <v>44</v>
      </c>
      <c r="BL20" s="56" t="s">
        <v>108</v>
      </c>
      <c r="BN20" s="86" t="s">
        <v>44</v>
      </c>
      <c r="BO20" s="56" t="s">
        <v>109</v>
      </c>
      <c r="BS20" s="86" t="s">
        <v>44</v>
      </c>
      <c r="BT20" s="35" t="s">
        <v>104</v>
      </c>
      <c r="BU20" s="36" t="s">
        <v>58</v>
      </c>
      <c r="BV20" s="56" t="s">
        <v>109</v>
      </c>
    </row>
    <row r="21" spans="1:104" ht="16.8" thickBot="1" x14ac:dyDescent="0.4">
      <c r="A21" s="75" t="s">
        <v>163</v>
      </c>
      <c r="B21" s="75">
        <v>142.83000000000001</v>
      </c>
      <c r="C21" s="75">
        <v>42.74</v>
      </c>
      <c r="D21" s="42"/>
      <c r="E21" s="75">
        <v>10.08</v>
      </c>
      <c r="R21" s="75" t="s">
        <v>162</v>
      </c>
      <c r="S21" s="75">
        <v>177.48</v>
      </c>
      <c r="T21" s="75">
        <v>47.82</v>
      </c>
      <c r="U21" s="42">
        <f t="shared" si="18"/>
        <v>225.29999999999998</v>
      </c>
      <c r="V21" s="42">
        <v>17.22</v>
      </c>
      <c r="X21" s="85" t="s">
        <v>68</v>
      </c>
      <c r="Y21" s="85"/>
      <c r="Z21" s="85"/>
      <c r="AA21" s="85"/>
      <c r="AB21" s="85"/>
      <c r="BH21" s="53" t="s">
        <v>47</v>
      </c>
      <c r="BI21" s="9">
        <v>2.7758945386064036</v>
      </c>
      <c r="BK21" s="53" t="s">
        <v>47</v>
      </c>
      <c r="BL21" s="9">
        <v>3.2253416762720235</v>
      </c>
      <c r="BN21" s="53" t="s">
        <v>47</v>
      </c>
      <c r="BO21" s="9">
        <v>2.7852376980817337</v>
      </c>
      <c r="BS21" s="53" t="s">
        <v>47</v>
      </c>
      <c r="BT21" s="60">
        <v>30.256666666666664</v>
      </c>
      <c r="BU21" s="60">
        <v>7.993333333333335</v>
      </c>
      <c r="BV21" s="60">
        <f t="shared" ref="BV21:BV26" si="19">(BT21-BU21)/BU21</f>
        <v>2.7852376980817337</v>
      </c>
      <c r="CV21" s="41" t="s">
        <v>79</v>
      </c>
    </row>
    <row r="22" spans="1:104" ht="16.2" x14ac:dyDescent="0.35">
      <c r="A22" s="75" t="s">
        <v>164</v>
      </c>
      <c r="B22" s="75">
        <v>102.55</v>
      </c>
      <c r="C22" s="75">
        <v>25.16</v>
      </c>
      <c r="D22" s="42"/>
      <c r="E22" s="75">
        <v>10.08</v>
      </c>
      <c r="R22" s="75" t="s">
        <v>163</v>
      </c>
      <c r="S22" s="75">
        <v>142.83000000000001</v>
      </c>
      <c r="T22" s="75">
        <v>41.44</v>
      </c>
      <c r="U22" s="42">
        <f t="shared" si="18"/>
        <v>184.27</v>
      </c>
      <c r="V22" s="42">
        <v>17.149999999999999</v>
      </c>
      <c r="X22" s="85" t="s">
        <v>63</v>
      </c>
      <c r="Y22" s="85" t="s">
        <v>65</v>
      </c>
      <c r="Z22" s="85" t="s">
        <v>66</v>
      </c>
      <c r="AA22" s="85" t="s">
        <v>69</v>
      </c>
      <c r="AB22" s="85" t="s">
        <v>70</v>
      </c>
      <c r="BH22" s="53" t="s">
        <v>48</v>
      </c>
      <c r="BI22" s="9">
        <v>4.8252840909090926</v>
      </c>
      <c r="BK22" s="53" t="s">
        <v>48</v>
      </c>
      <c r="BL22" s="9">
        <v>3.3011363636363638</v>
      </c>
      <c r="BN22" s="53" t="s">
        <v>48</v>
      </c>
      <c r="BO22" s="9">
        <v>4.4808464064210121</v>
      </c>
      <c r="BS22" s="53" t="s">
        <v>48</v>
      </c>
      <c r="BT22" s="60">
        <v>50.076666666666661</v>
      </c>
      <c r="BU22" s="60">
        <v>9.1366666666666685</v>
      </c>
      <c r="BV22" s="60">
        <f t="shared" si="19"/>
        <v>4.4808464064210121</v>
      </c>
      <c r="CV22" s="86" t="s">
        <v>44</v>
      </c>
      <c r="CW22" s="35" t="s">
        <v>104</v>
      </c>
      <c r="CX22" s="36" t="s">
        <v>58</v>
      </c>
      <c r="CY22" s="41" t="s">
        <v>69</v>
      </c>
      <c r="CZ22" s="41" t="s">
        <v>70</v>
      </c>
    </row>
    <row r="23" spans="1:104" ht="16.2" x14ac:dyDescent="0.35">
      <c r="A23" s="75" t="s">
        <v>165</v>
      </c>
      <c r="B23" s="75">
        <v>114.49</v>
      </c>
      <c r="C23" s="75">
        <v>26.27</v>
      </c>
      <c r="D23" s="42"/>
      <c r="E23" s="75">
        <v>10.08</v>
      </c>
      <c r="R23" s="75" t="s">
        <v>164</v>
      </c>
      <c r="S23" s="75">
        <v>102.55</v>
      </c>
      <c r="T23" s="75">
        <v>28.01</v>
      </c>
      <c r="U23" s="42">
        <f t="shared" si="18"/>
        <v>130.56</v>
      </c>
      <c r="V23" s="42"/>
      <c r="X23" s="44" t="s">
        <v>187</v>
      </c>
      <c r="Y23" s="37">
        <v>13.366666666666667</v>
      </c>
      <c r="Z23" s="37">
        <v>3.5399999999999996</v>
      </c>
      <c r="AA23" s="37">
        <v>0.2648379052369077</v>
      </c>
      <c r="AB23" s="37">
        <v>3.7758945386064036</v>
      </c>
      <c r="BH23" s="53" t="s">
        <v>49</v>
      </c>
      <c r="BI23" s="9">
        <v>3.4433656957928802</v>
      </c>
      <c r="BK23" s="53" t="s">
        <v>49</v>
      </c>
      <c r="BL23" s="9">
        <v>3.1620957309184998</v>
      </c>
      <c r="BN23" s="53" t="s">
        <v>49</v>
      </c>
      <c r="BO23" s="9">
        <v>5.8713080168776379</v>
      </c>
      <c r="BS23" s="53" t="s">
        <v>49</v>
      </c>
      <c r="BT23" s="37">
        <v>32.57</v>
      </c>
      <c r="BU23" s="37">
        <v>4.7399999999999993</v>
      </c>
      <c r="BV23" s="60">
        <f t="shared" si="19"/>
        <v>5.8713080168776379</v>
      </c>
      <c r="CV23" s="53" t="s">
        <v>47</v>
      </c>
      <c r="CW23" s="60">
        <v>30.256666666666664</v>
      </c>
      <c r="CX23" s="60">
        <v>7.993333333333335</v>
      </c>
      <c r="CY23" s="90">
        <f t="shared" ref="CY23:CY28" si="20">CX23/CW23</f>
        <v>0.26418420182879815</v>
      </c>
      <c r="CZ23" s="90">
        <f t="shared" ref="CZ23:CZ28" si="21">CW23/CX23</f>
        <v>3.7852376980817337</v>
      </c>
    </row>
    <row r="24" spans="1:104" ht="16.2" x14ac:dyDescent="0.35">
      <c r="A24" s="75" t="s">
        <v>166</v>
      </c>
      <c r="B24" s="75">
        <v>104.69</v>
      </c>
      <c r="C24" s="75">
        <v>25.87</v>
      </c>
      <c r="D24" s="42"/>
      <c r="E24" s="75">
        <v>10.08</v>
      </c>
      <c r="R24" s="75" t="s">
        <v>165</v>
      </c>
      <c r="S24" s="75">
        <v>114.49</v>
      </c>
      <c r="T24" s="75">
        <v>36.520000000000003</v>
      </c>
      <c r="U24" s="42">
        <f t="shared" si="18"/>
        <v>151.01</v>
      </c>
      <c r="V24" s="42"/>
      <c r="X24" s="44" t="s">
        <v>188</v>
      </c>
      <c r="Y24" s="37">
        <v>13.670000000000002</v>
      </c>
      <c r="Z24" s="37">
        <v>2.3466666666666662</v>
      </c>
      <c r="AA24" s="37">
        <v>0.17166544745184095</v>
      </c>
      <c r="AB24" s="37">
        <v>5.8252840909090926</v>
      </c>
      <c r="BH24" s="53" t="s">
        <v>50</v>
      </c>
      <c r="BI24" s="9">
        <v>3.7896440129449838</v>
      </c>
      <c r="BK24" s="53" t="s">
        <v>50</v>
      </c>
      <c r="BL24" s="9">
        <v>3.0491755857680065</v>
      </c>
      <c r="BN24" s="53" t="s">
        <v>50</v>
      </c>
      <c r="BO24" s="9">
        <v>6.9120521172638396</v>
      </c>
      <c r="BS24" s="53" t="s">
        <v>50</v>
      </c>
      <c r="BT24" s="60">
        <v>16.193333333333332</v>
      </c>
      <c r="BU24" s="60">
        <v>2.0466666666666669</v>
      </c>
      <c r="BV24" s="60">
        <f t="shared" si="19"/>
        <v>6.9120521172638423</v>
      </c>
      <c r="CV24" s="53" t="s">
        <v>48</v>
      </c>
      <c r="CW24" s="60">
        <v>50.076666666666661</v>
      </c>
      <c r="CX24" s="60">
        <v>9.1366666666666685</v>
      </c>
      <c r="CY24" s="90">
        <f t="shared" si="20"/>
        <v>0.18245357119084077</v>
      </c>
      <c r="CZ24" s="90">
        <f t="shared" si="21"/>
        <v>5.4808464064210121</v>
      </c>
    </row>
    <row r="25" spans="1:104" ht="16.2" x14ac:dyDescent="0.35">
      <c r="A25" s="75" t="s">
        <v>167</v>
      </c>
      <c r="B25" s="75">
        <v>54.33</v>
      </c>
      <c r="C25" s="75">
        <f>21.85-10.08</f>
        <v>11.770000000000001</v>
      </c>
      <c r="D25" s="42"/>
      <c r="E25" s="75">
        <v>10.08</v>
      </c>
      <c r="R25" s="75" t="s">
        <v>166</v>
      </c>
      <c r="S25" s="75">
        <v>104.69</v>
      </c>
      <c r="T25" s="75">
        <v>33.18</v>
      </c>
      <c r="U25" s="42">
        <f t="shared" si="18"/>
        <v>137.87</v>
      </c>
      <c r="V25" s="42"/>
      <c r="X25" s="45" t="s">
        <v>189</v>
      </c>
      <c r="Y25" s="37">
        <v>9.1533333333333342</v>
      </c>
      <c r="Z25" s="37">
        <v>2.06</v>
      </c>
      <c r="AA25" s="37">
        <v>0.22505462490895847</v>
      </c>
      <c r="AB25" s="37">
        <v>4.4433656957928802</v>
      </c>
      <c r="BH25" s="53" t="s">
        <v>97</v>
      </c>
      <c r="BI25" s="9">
        <v>2.9756097560975592</v>
      </c>
      <c r="BK25" s="53" t="s">
        <v>97</v>
      </c>
      <c r="BL25" s="9">
        <v>2.5130890052356016</v>
      </c>
      <c r="BN25" s="53" t="s">
        <v>97</v>
      </c>
      <c r="BO25" s="9">
        <v>2.7254901960784328</v>
      </c>
      <c r="BS25" s="53" t="s">
        <v>97</v>
      </c>
      <c r="BT25" s="37">
        <v>3.8</v>
      </c>
      <c r="BU25" s="37">
        <v>1.0199999999999996</v>
      </c>
      <c r="BV25" s="60">
        <f t="shared" si="19"/>
        <v>2.7254901960784328</v>
      </c>
      <c r="CV25" s="53" t="s">
        <v>49</v>
      </c>
      <c r="CW25" s="37">
        <v>32.57</v>
      </c>
      <c r="CX25" s="37">
        <v>4.7399999999999993</v>
      </c>
      <c r="CY25" s="90">
        <f t="shared" si="20"/>
        <v>0.14553269880257905</v>
      </c>
      <c r="CZ25" s="90">
        <f t="shared" si="21"/>
        <v>6.8713080168776379</v>
      </c>
    </row>
    <row r="26" spans="1:104" ht="16.8" thickBot="1" x14ac:dyDescent="0.4">
      <c r="A26" s="75" t="s">
        <v>168</v>
      </c>
      <c r="B26" s="75">
        <v>48.58</v>
      </c>
      <c r="C26" s="75">
        <f>23-10.08</f>
        <v>12.92</v>
      </c>
      <c r="D26" s="42"/>
      <c r="E26" s="75">
        <v>10.08</v>
      </c>
      <c r="R26" s="75" t="s">
        <v>167</v>
      </c>
      <c r="S26" s="75">
        <v>54.33</v>
      </c>
      <c r="T26" s="75">
        <v>21.74</v>
      </c>
      <c r="U26" s="42">
        <f t="shared" si="18"/>
        <v>76.069999999999993</v>
      </c>
      <c r="V26" s="42"/>
      <c r="X26" s="44" t="s">
        <v>190</v>
      </c>
      <c r="Y26" s="37">
        <v>4.9333333333333336</v>
      </c>
      <c r="Z26" s="37">
        <v>1.03</v>
      </c>
      <c r="AA26" s="37">
        <v>0.20878378378378379</v>
      </c>
      <c r="AB26" s="37">
        <v>4.7896440129449838</v>
      </c>
      <c r="BH26" s="54" t="s">
        <v>98</v>
      </c>
      <c r="BI26" s="9">
        <v>2.9555555555555619</v>
      </c>
      <c r="BK26" s="54" t="s">
        <v>98</v>
      </c>
      <c r="BL26" s="9">
        <v>2.5098684210526327</v>
      </c>
      <c r="BN26" s="54" t="s">
        <v>98</v>
      </c>
      <c r="BO26" s="9">
        <v>2.7241379310344827</v>
      </c>
      <c r="BS26" s="54" t="s">
        <v>98</v>
      </c>
      <c r="BT26" s="37">
        <v>6.48</v>
      </c>
      <c r="BU26" s="37">
        <v>1.7400000000000002</v>
      </c>
      <c r="BV26" s="60">
        <f t="shared" si="19"/>
        <v>2.7241379310344827</v>
      </c>
      <c r="CV26" s="53" t="s">
        <v>50</v>
      </c>
      <c r="CW26" s="60">
        <v>16.193333333333332</v>
      </c>
      <c r="CX26" s="60">
        <v>2.0466666666666669</v>
      </c>
      <c r="CY26" s="90">
        <f t="shared" si="20"/>
        <v>0.12638946068340884</v>
      </c>
      <c r="CZ26" s="90">
        <f t="shared" si="21"/>
        <v>7.9120521172638423</v>
      </c>
    </row>
    <row r="27" spans="1:104" ht="16.2" x14ac:dyDescent="0.35">
      <c r="A27" s="75" t="s">
        <v>169</v>
      </c>
      <c r="B27" s="75">
        <v>37.07</v>
      </c>
      <c r="C27" s="75">
        <f>19.96-10.08</f>
        <v>9.8800000000000008</v>
      </c>
      <c r="D27" s="37"/>
      <c r="E27" s="75">
        <v>10.08</v>
      </c>
      <c r="R27" s="75" t="s">
        <v>168</v>
      </c>
      <c r="S27" s="75">
        <v>48.58</v>
      </c>
      <c r="T27" s="75">
        <v>14.5</v>
      </c>
      <c r="U27" s="42">
        <f t="shared" si="18"/>
        <v>63.08</v>
      </c>
      <c r="V27" s="42"/>
      <c r="X27" s="44" t="s">
        <v>191</v>
      </c>
      <c r="Y27" s="37">
        <v>1.63</v>
      </c>
      <c r="Z27" s="37">
        <v>0.41000000000000014</v>
      </c>
      <c r="AA27" s="37">
        <v>0.25153374233128845</v>
      </c>
      <c r="AB27" s="37">
        <v>3.9756097560975592</v>
      </c>
      <c r="BT27">
        <f>BT26*100/BT21</f>
        <v>21.416767654511403</v>
      </c>
      <c r="BU27">
        <f>BU26*100/BU21</f>
        <v>21.76814011676397</v>
      </c>
      <c r="BV27" s="60">
        <f>BV26*100/BV21</f>
        <v>97.806299724819453</v>
      </c>
      <c r="CV27" s="53" t="s">
        <v>97</v>
      </c>
      <c r="CW27" s="60">
        <v>3.8</v>
      </c>
      <c r="CX27" s="37">
        <v>1.0199999999999996</v>
      </c>
      <c r="CY27" s="90">
        <f t="shared" si="20"/>
        <v>0.26842105263157884</v>
      </c>
      <c r="CZ27" s="90">
        <f t="shared" si="21"/>
        <v>3.7254901960784328</v>
      </c>
    </row>
    <row r="28" spans="1:104" ht="16.8" thickBot="1" x14ac:dyDescent="0.4">
      <c r="A28" s="76" t="s">
        <v>170</v>
      </c>
      <c r="B28" s="76">
        <v>13.42</v>
      </c>
      <c r="C28" s="76">
        <f>13.9-10.08</f>
        <v>3.8200000000000003</v>
      </c>
      <c r="D28" s="37"/>
      <c r="E28" s="75">
        <v>10.08</v>
      </c>
      <c r="R28" s="75" t="s">
        <v>169</v>
      </c>
      <c r="S28" s="75">
        <v>37.07</v>
      </c>
      <c r="T28" s="75">
        <v>12.34</v>
      </c>
      <c r="U28" s="42">
        <f t="shared" si="18"/>
        <v>49.41</v>
      </c>
      <c r="V28" s="42"/>
      <c r="X28" s="44" t="s">
        <v>192</v>
      </c>
      <c r="Y28" s="37">
        <v>1.78</v>
      </c>
      <c r="Z28" s="37">
        <v>0.44999999999999929</v>
      </c>
      <c r="AA28" s="37">
        <v>0.25280898876404456</v>
      </c>
      <c r="AB28" s="37">
        <v>3.9555555555555619</v>
      </c>
      <c r="BT28">
        <f>100-BT27</f>
        <v>78.583232345488597</v>
      </c>
      <c r="BU28">
        <f>100-BU27</f>
        <v>78.231859883236027</v>
      </c>
      <c r="BV28" s="9">
        <f>100-BV27</f>
        <v>2.1937002751805466</v>
      </c>
      <c r="CV28" s="54" t="s">
        <v>98</v>
      </c>
      <c r="CW28" s="37">
        <v>6.48</v>
      </c>
      <c r="CX28" s="37">
        <v>1.7400000000000002</v>
      </c>
      <c r="CY28" s="90">
        <f t="shared" si="20"/>
        <v>0.26851851851851855</v>
      </c>
      <c r="CZ28" s="90">
        <f t="shared" si="21"/>
        <v>3.7241379310344827</v>
      </c>
    </row>
    <row r="29" spans="1:104" s="8" customFormat="1" x14ac:dyDescent="0.3">
      <c r="A29" s="77" t="s">
        <v>171</v>
      </c>
      <c r="B29" s="77" t="s">
        <v>67</v>
      </c>
      <c r="C29" s="78">
        <f>13.12-10.08</f>
        <v>3.0399999999999991</v>
      </c>
      <c r="D29" s="60"/>
      <c r="E29" s="79">
        <v>10.08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76" t="s">
        <v>170</v>
      </c>
      <c r="S29" s="75">
        <v>13.42</v>
      </c>
      <c r="T29" s="76">
        <v>3.8</v>
      </c>
      <c r="U29" s="42">
        <f t="shared" si="18"/>
        <v>17.22</v>
      </c>
      <c r="V29" s="48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</row>
    <row r="30" spans="1:104" x14ac:dyDescent="0.3">
      <c r="A30" s="75" t="s">
        <v>172</v>
      </c>
      <c r="B30" s="75">
        <v>40.229999999999997</v>
      </c>
      <c r="C30" s="75">
        <f>17.62-10.08</f>
        <v>7.5400000000000009</v>
      </c>
      <c r="D30" s="37"/>
      <c r="E30" s="75">
        <v>10.08</v>
      </c>
      <c r="R30" s="77" t="s">
        <v>171</v>
      </c>
      <c r="S30" s="77" t="s">
        <v>67</v>
      </c>
      <c r="T30" s="81">
        <v>6.48</v>
      </c>
      <c r="U30" s="42">
        <f t="shared" si="18"/>
        <v>17.149999999999999</v>
      </c>
      <c r="V30" s="48"/>
    </row>
    <row r="31" spans="1:104" x14ac:dyDescent="0.3">
      <c r="A31" s="75" t="s">
        <v>173</v>
      </c>
      <c r="B31" s="75">
        <v>39.299999999999997</v>
      </c>
      <c r="C31" s="75">
        <f>17.53-10.08</f>
        <v>7.4500000000000011</v>
      </c>
      <c r="D31" s="37"/>
      <c r="E31" s="75">
        <v>10.08</v>
      </c>
    </row>
    <row r="32" spans="1:104" x14ac:dyDescent="0.3">
      <c r="A32" s="75" t="s">
        <v>174</v>
      </c>
      <c r="B32" s="75">
        <v>11.24</v>
      </c>
      <c r="C32" s="75">
        <f>19.07-10.08</f>
        <v>8.99</v>
      </c>
      <c r="D32" s="37"/>
      <c r="E32" s="75">
        <v>10.08</v>
      </c>
    </row>
    <row r="33" spans="1:22" x14ac:dyDescent="0.3">
      <c r="A33" s="75" t="s">
        <v>175</v>
      </c>
      <c r="B33" s="75">
        <v>60.97</v>
      </c>
      <c r="C33" s="75">
        <f>20.07-10.08</f>
        <v>9.99</v>
      </c>
      <c r="D33" s="37"/>
      <c r="E33" s="75">
        <v>10.08</v>
      </c>
      <c r="S33" s="41" t="s">
        <v>139</v>
      </c>
      <c r="T33" s="41" t="s">
        <v>140</v>
      </c>
      <c r="U33" s="85" t="s">
        <v>135</v>
      </c>
      <c r="V33" s="144" t="s">
        <v>26</v>
      </c>
    </row>
    <row r="34" spans="1:22" x14ac:dyDescent="0.3">
      <c r="A34" s="75" t="s">
        <v>176</v>
      </c>
      <c r="B34" s="75">
        <v>47.82</v>
      </c>
      <c r="C34" s="75">
        <f>19.07-10.08</f>
        <v>8.99</v>
      </c>
      <c r="D34" s="37"/>
      <c r="E34" s="75">
        <v>10.08</v>
      </c>
      <c r="R34" s="75" t="s">
        <v>158</v>
      </c>
      <c r="S34" s="75">
        <v>37.53</v>
      </c>
      <c r="T34" s="75">
        <f>17.62-10.08</f>
        <v>7.5400000000000009</v>
      </c>
      <c r="U34">
        <f>S34+T34</f>
        <v>45.07</v>
      </c>
      <c r="V34">
        <f>AVERAGE(U34:U36)</f>
        <v>48.48</v>
      </c>
    </row>
    <row r="35" spans="1:22" x14ac:dyDescent="0.3">
      <c r="A35" s="75" t="s">
        <v>177</v>
      </c>
      <c r="B35" s="75">
        <v>41.44</v>
      </c>
      <c r="C35" s="75">
        <f>18.51-10.08</f>
        <v>8.4300000000000015</v>
      </c>
      <c r="D35" s="37"/>
      <c r="E35" s="75">
        <v>10.08</v>
      </c>
      <c r="R35" s="75" t="s">
        <v>159</v>
      </c>
      <c r="S35" s="75">
        <v>41.5</v>
      </c>
      <c r="T35" s="75">
        <f>17.53-10.08</f>
        <v>7.4500000000000011</v>
      </c>
      <c r="U35">
        <f t="shared" ref="U35:U47" si="22">S35+T35</f>
        <v>48.95</v>
      </c>
      <c r="V35">
        <f>AVERAGE(U37:U39)</f>
        <v>48.443333333333328</v>
      </c>
    </row>
    <row r="36" spans="1:22" x14ac:dyDescent="0.3">
      <c r="A36" s="75" t="s">
        <v>178</v>
      </c>
      <c r="B36" s="75">
        <v>28.01</v>
      </c>
      <c r="C36" s="75">
        <f>12.92-10.08</f>
        <v>2.84</v>
      </c>
      <c r="D36" s="37"/>
      <c r="E36" s="75">
        <v>10.08</v>
      </c>
      <c r="R36" s="75" t="s">
        <v>160</v>
      </c>
      <c r="S36" s="75">
        <v>42.43</v>
      </c>
      <c r="T36" s="75">
        <f>19.07-10.08</f>
        <v>8.99</v>
      </c>
      <c r="U36">
        <f t="shared" si="22"/>
        <v>51.42</v>
      </c>
      <c r="V36">
        <f>AVERAGE(U40:U42)</f>
        <v>30.506666666666664</v>
      </c>
    </row>
    <row r="37" spans="1:22" x14ac:dyDescent="0.3">
      <c r="A37" s="75" t="s">
        <v>179</v>
      </c>
      <c r="B37" s="75">
        <v>36.520000000000003</v>
      </c>
      <c r="C37" s="75">
        <f>16-10.08</f>
        <v>5.92</v>
      </c>
      <c r="D37" s="37"/>
      <c r="E37" s="75">
        <v>10.08</v>
      </c>
      <c r="R37" s="75" t="s">
        <v>161</v>
      </c>
      <c r="S37" s="75">
        <v>39.78</v>
      </c>
      <c r="T37" s="75">
        <f>20.07-10.08</f>
        <v>9.99</v>
      </c>
      <c r="U37">
        <f t="shared" si="22"/>
        <v>49.77</v>
      </c>
      <c r="V37">
        <f>AVERAGE(U43:U45)</f>
        <v>13.57</v>
      </c>
    </row>
    <row r="38" spans="1:22" x14ac:dyDescent="0.3">
      <c r="A38" s="75" t="s">
        <v>180</v>
      </c>
      <c r="B38" s="75">
        <v>33.18</v>
      </c>
      <c r="C38" s="75">
        <f>15.54-10.08</f>
        <v>5.4599999999999991</v>
      </c>
      <c r="D38" s="37"/>
      <c r="E38" s="75">
        <v>10.08</v>
      </c>
      <c r="R38" s="75" t="s">
        <v>162</v>
      </c>
      <c r="S38" s="75">
        <v>35.4</v>
      </c>
      <c r="T38" s="75">
        <f>19.07-10.08</f>
        <v>8.99</v>
      </c>
      <c r="U38">
        <f t="shared" si="22"/>
        <v>44.39</v>
      </c>
      <c r="V38">
        <v>4.84</v>
      </c>
    </row>
    <row r="39" spans="1:22" x14ac:dyDescent="0.3">
      <c r="A39" s="75" t="s">
        <v>181</v>
      </c>
      <c r="B39" s="75">
        <v>21.74</v>
      </c>
      <c r="C39" s="75">
        <f>12.67-10.08</f>
        <v>2.59</v>
      </c>
      <c r="D39" s="37"/>
      <c r="E39" s="75">
        <v>10.08</v>
      </c>
      <c r="R39" s="75" t="s">
        <v>163</v>
      </c>
      <c r="S39" s="75">
        <v>42.74</v>
      </c>
      <c r="T39" s="75">
        <f>18.51-10.08</f>
        <v>8.4300000000000015</v>
      </c>
      <c r="U39">
        <f t="shared" si="22"/>
        <v>51.17</v>
      </c>
      <c r="V39">
        <v>4.7799999999999994</v>
      </c>
    </row>
    <row r="40" spans="1:22" x14ac:dyDescent="0.3">
      <c r="A40" s="75" t="s">
        <v>182</v>
      </c>
      <c r="B40" s="75">
        <v>14.5</v>
      </c>
      <c r="C40" s="75">
        <f>12.47-10.08</f>
        <v>2.3900000000000006</v>
      </c>
      <c r="D40" s="37"/>
      <c r="E40" s="75">
        <v>10.08</v>
      </c>
      <c r="R40" s="75" t="s">
        <v>164</v>
      </c>
      <c r="S40" s="75">
        <v>25.16</v>
      </c>
      <c r="T40" s="75">
        <f>12.92-10.08</f>
        <v>2.84</v>
      </c>
      <c r="U40">
        <f t="shared" si="22"/>
        <v>28</v>
      </c>
    </row>
    <row r="41" spans="1:22" x14ac:dyDescent="0.3">
      <c r="A41" s="75" t="s">
        <v>183</v>
      </c>
      <c r="B41" s="75">
        <v>12.34</v>
      </c>
      <c r="C41" s="75">
        <f>11.24-10.08</f>
        <v>1.1600000000000001</v>
      </c>
      <c r="D41" s="37"/>
      <c r="E41" s="75">
        <v>10.08</v>
      </c>
      <c r="R41" s="75" t="s">
        <v>165</v>
      </c>
      <c r="S41" s="75">
        <v>26.27</v>
      </c>
      <c r="T41" s="75">
        <f>16-10.08</f>
        <v>5.92</v>
      </c>
      <c r="U41">
        <f t="shared" si="22"/>
        <v>32.19</v>
      </c>
    </row>
    <row r="42" spans="1:22" x14ac:dyDescent="0.3">
      <c r="A42" s="76" t="s">
        <v>184</v>
      </c>
      <c r="B42" s="76">
        <v>3.8</v>
      </c>
      <c r="C42" s="76">
        <f>11.1-10.08</f>
        <v>1.0199999999999996</v>
      </c>
      <c r="D42" s="37"/>
      <c r="E42" s="75">
        <v>10.08</v>
      </c>
      <c r="R42" s="75" t="s">
        <v>166</v>
      </c>
      <c r="S42" s="75">
        <v>25.87</v>
      </c>
      <c r="T42" s="75">
        <f>15.54-10.08</f>
        <v>5.4599999999999991</v>
      </c>
      <c r="U42">
        <f t="shared" si="22"/>
        <v>31.33</v>
      </c>
    </row>
    <row r="43" spans="1:22" x14ac:dyDescent="0.3">
      <c r="A43" s="80" t="s">
        <v>185</v>
      </c>
      <c r="B43" s="81">
        <v>6.48</v>
      </c>
      <c r="C43" s="48">
        <f>11.82-10.08</f>
        <v>1.7400000000000002</v>
      </c>
      <c r="D43" s="37"/>
      <c r="E43" s="82">
        <v>10.08</v>
      </c>
      <c r="R43" s="75" t="s">
        <v>167</v>
      </c>
      <c r="S43" s="75">
        <f>21.85-10.08</f>
        <v>11.770000000000001</v>
      </c>
      <c r="T43" s="75">
        <f>12.67-10.08</f>
        <v>2.59</v>
      </c>
      <c r="U43">
        <f t="shared" si="22"/>
        <v>14.360000000000001</v>
      </c>
    </row>
    <row r="44" spans="1:22" x14ac:dyDescent="0.3">
      <c r="R44" s="75" t="s">
        <v>168</v>
      </c>
      <c r="S44" s="75">
        <f>23-10.08</f>
        <v>12.92</v>
      </c>
      <c r="T44" s="75">
        <f>12.47-10.08</f>
        <v>2.3900000000000006</v>
      </c>
      <c r="U44">
        <f t="shared" si="22"/>
        <v>15.31</v>
      </c>
    </row>
    <row r="45" spans="1:22" x14ac:dyDescent="0.3">
      <c r="R45" s="75" t="s">
        <v>169</v>
      </c>
      <c r="S45" s="75">
        <f>19.96-10.08</f>
        <v>9.8800000000000008</v>
      </c>
      <c r="T45" s="75">
        <f>11.24-10.08</f>
        <v>1.1600000000000001</v>
      </c>
      <c r="U45">
        <f t="shared" si="22"/>
        <v>11.040000000000001</v>
      </c>
    </row>
    <row r="46" spans="1:22" x14ac:dyDescent="0.3">
      <c r="R46" s="76" t="s">
        <v>170</v>
      </c>
      <c r="S46" s="75">
        <f>13.9-10.08</f>
        <v>3.8200000000000003</v>
      </c>
      <c r="T46" s="76">
        <f>11.1-10.08</f>
        <v>1.0199999999999996</v>
      </c>
      <c r="U46">
        <f t="shared" si="22"/>
        <v>4.84</v>
      </c>
    </row>
    <row r="47" spans="1:22" x14ac:dyDescent="0.3">
      <c r="R47" s="77" t="s">
        <v>171</v>
      </c>
      <c r="S47" s="78">
        <f>13.12-10.08</f>
        <v>3.0399999999999991</v>
      </c>
      <c r="T47" s="48">
        <f>11.82-10.08</f>
        <v>1.7400000000000002</v>
      </c>
      <c r="U47">
        <f t="shared" si="22"/>
        <v>4.7799999999999994</v>
      </c>
    </row>
  </sheetData>
  <mergeCells count="5">
    <mergeCell ref="K11:N11"/>
    <mergeCell ref="X11:AA11"/>
    <mergeCell ref="AD11:AG11"/>
    <mergeCell ref="AL11:AO11"/>
    <mergeCell ref="BR1:BT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V48"/>
  <sheetViews>
    <sheetView topLeftCell="BN1" zoomScaleNormal="100" workbookViewId="0">
      <selection activeCell="BT3" sqref="BT3"/>
    </sheetView>
  </sheetViews>
  <sheetFormatPr defaultRowHeight="14.4" x14ac:dyDescent="0.3"/>
  <cols>
    <col min="1" max="1" width="17.33203125" customWidth="1"/>
    <col min="10" max="10" width="17.88671875" customWidth="1"/>
    <col min="11" max="11" width="11.6640625" customWidth="1"/>
    <col min="14" max="14" width="10.44140625" customWidth="1"/>
    <col min="17" max="17" width="18.109375" customWidth="1"/>
    <col min="20" max="20" width="10.33203125" customWidth="1"/>
    <col min="21" max="21" width="10.109375" customWidth="1"/>
    <col min="24" max="24" width="17" customWidth="1"/>
    <col min="26" max="26" width="10" customWidth="1"/>
    <col min="28" max="28" width="10.44140625" customWidth="1"/>
    <col min="31" max="31" width="11.44140625" customWidth="1"/>
    <col min="32" max="32" width="10.88671875" customWidth="1"/>
    <col min="33" max="33" width="11" customWidth="1"/>
    <col min="34" max="35" width="11.44140625" customWidth="1"/>
    <col min="36" max="36" width="12" customWidth="1"/>
    <col min="43" max="43" width="16" customWidth="1"/>
    <col min="44" max="44" width="19.5546875" customWidth="1"/>
    <col min="48" max="48" width="16" customWidth="1"/>
    <col min="49" max="49" width="20.44140625" customWidth="1"/>
    <col min="53" max="53" width="17" customWidth="1"/>
    <col min="54" max="54" width="19.5546875" customWidth="1"/>
    <col min="58" max="58" width="14.6640625" customWidth="1"/>
    <col min="59" max="59" width="10.5546875" bestFit="1" customWidth="1"/>
    <col min="65" max="65" width="9.5546875" bestFit="1" customWidth="1"/>
    <col min="72" max="72" width="9.5546875" bestFit="1" customWidth="1"/>
  </cols>
  <sheetData>
    <row r="1" spans="1:74" ht="15" thickBot="1" x14ac:dyDescent="0.35">
      <c r="J1" s="157" t="s">
        <v>205</v>
      </c>
      <c r="K1" s="157"/>
      <c r="L1" s="157"/>
      <c r="M1" s="157"/>
      <c r="N1" s="157"/>
      <c r="Q1" s="157" t="s">
        <v>206</v>
      </c>
      <c r="R1" s="157"/>
      <c r="S1" s="157"/>
      <c r="T1" s="157"/>
      <c r="U1" s="157"/>
      <c r="X1" s="158" t="s">
        <v>209</v>
      </c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</row>
    <row r="2" spans="1:74" ht="15" thickBot="1" x14ac:dyDescent="0.35">
      <c r="A2" s="10" t="s">
        <v>18</v>
      </c>
      <c r="B2" s="11" t="s">
        <v>19</v>
      </c>
      <c r="C2" s="11" t="s">
        <v>20</v>
      </c>
      <c r="D2" s="11" t="s">
        <v>21</v>
      </c>
      <c r="E2" s="11" t="s">
        <v>22</v>
      </c>
      <c r="F2" s="11" t="s">
        <v>23</v>
      </c>
      <c r="G2" s="11" t="s">
        <v>24</v>
      </c>
      <c r="J2" s="2" t="s">
        <v>18</v>
      </c>
      <c r="K2" s="21" t="s">
        <v>19</v>
      </c>
      <c r="L2" s="21" t="s">
        <v>20</v>
      </c>
      <c r="M2" s="21" t="s">
        <v>21</v>
      </c>
      <c r="N2" s="21" t="s">
        <v>22</v>
      </c>
      <c r="Q2" s="2" t="s">
        <v>18</v>
      </c>
      <c r="R2" s="21" t="s">
        <v>19</v>
      </c>
      <c r="S2" s="21" t="s">
        <v>20</v>
      </c>
      <c r="T2" s="21" t="s">
        <v>21</v>
      </c>
      <c r="U2" s="21" t="s">
        <v>22</v>
      </c>
      <c r="X2" s="159" t="s">
        <v>44</v>
      </c>
      <c r="Y2" s="161" t="s">
        <v>19</v>
      </c>
      <c r="Z2" s="162"/>
      <c r="AA2" s="163"/>
      <c r="AB2" s="161" t="s">
        <v>20</v>
      </c>
      <c r="AC2" s="162"/>
      <c r="AD2" s="163"/>
      <c r="AE2" s="161" t="s">
        <v>21</v>
      </c>
      <c r="AF2" s="162"/>
      <c r="AG2" s="163"/>
      <c r="AH2" s="167" t="s">
        <v>22</v>
      </c>
      <c r="AI2" s="168"/>
      <c r="AJ2" s="168"/>
      <c r="AK2" s="22"/>
      <c r="AL2" s="169" t="s">
        <v>53</v>
      </c>
      <c r="AM2" s="164"/>
      <c r="AN2" s="164"/>
      <c r="AQ2" s="170" t="s">
        <v>211</v>
      </c>
      <c r="AR2" s="170"/>
      <c r="AS2" s="170"/>
      <c r="AT2" s="170"/>
      <c r="AU2" s="170"/>
      <c r="AV2" s="170"/>
      <c r="AW2" s="170"/>
      <c r="BF2" s="95" t="s">
        <v>44</v>
      </c>
      <c r="BG2" s="165" t="s">
        <v>19</v>
      </c>
      <c r="BH2" s="165"/>
      <c r="BI2" s="165"/>
      <c r="BJ2" s="165" t="s">
        <v>20</v>
      </c>
      <c r="BK2" s="165"/>
      <c r="BL2" s="165"/>
      <c r="BM2" s="165" t="s">
        <v>21</v>
      </c>
      <c r="BN2" s="165"/>
      <c r="BO2" s="165"/>
      <c r="BP2" s="166" t="s">
        <v>22</v>
      </c>
      <c r="BQ2" s="166"/>
      <c r="BR2" s="166"/>
      <c r="BS2" s="165" t="s">
        <v>53</v>
      </c>
      <c r="BT2" s="165"/>
      <c r="BU2" s="37"/>
      <c r="BV2" s="37"/>
    </row>
    <row r="3" spans="1:74" ht="15" thickBot="1" x14ac:dyDescent="0.35">
      <c r="A3" s="4" t="s">
        <v>172</v>
      </c>
      <c r="B3" s="13">
        <v>200</v>
      </c>
      <c r="C3" s="13">
        <v>1.4</v>
      </c>
      <c r="D3" s="13">
        <v>35.200000000000003</v>
      </c>
      <c r="E3" s="13">
        <v>8.15</v>
      </c>
      <c r="F3" s="13">
        <v>60</v>
      </c>
      <c r="G3" s="13">
        <v>0.6</v>
      </c>
      <c r="J3" s="4" t="s">
        <v>172</v>
      </c>
      <c r="K3" s="5">
        <f>B3/10</f>
        <v>20</v>
      </c>
      <c r="L3" s="22">
        <f>C3/10</f>
        <v>0.13999999999999999</v>
      </c>
      <c r="M3" s="22">
        <f>D3/10</f>
        <v>3.5200000000000005</v>
      </c>
      <c r="N3" s="22">
        <f>E3/10</f>
        <v>0.81500000000000006</v>
      </c>
      <c r="Q3" s="2" t="s">
        <v>199</v>
      </c>
      <c r="R3" s="22">
        <f>AVERAGE(K3:K5)</f>
        <v>16.2</v>
      </c>
      <c r="S3" s="22">
        <f>AVERAGE(L3:L5)</f>
        <v>0.15666666666666665</v>
      </c>
      <c r="T3" s="22">
        <f>AVERAGE(M3:M5)</f>
        <v>3.206666666666667</v>
      </c>
      <c r="U3" s="22">
        <f>AVERAGE(N3:N5)</f>
        <v>0.93900000000000006</v>
      </c>
      <c r="X3" s="160"/>
      <c r="Y3" s="4" t="s">
        <v>45</v>
      </c>
      <c r="Z3" s="4" t="s">
        <v>210</v>
      </c>
      <c r="AA3" s="4" t="s">
        <v>46</v>
      </c>
      <c r="AB3" s="4" t="s">
        <v>45</v>
      </c>
      <c r="AC3" s="4" t="s">
        <v>210</v>
      </c>
      <c r="AD3" s="4" t="s">
        <v>46</v>
      </c>
      <c r="AE3" s="4" t="s">
        <v>45</v>
      </c>
      <c r="AF3" s="4" t="s">
        <v>210</v>
      </c>
      <c r="AG3" s="4" t="s">
        <v>46</v>
      </c>
      <c r="AH3" s="4" t="s">
        <v>45</v>
      </c>
      <c r="AI3" s="4" t="s">
        <v>210</v>
      </c>
      <c r="AJ3" s="2" t="s">
        <v>46</v>
      </c>
      <c r="AK3" s="22"/>
      <c r="AL3" s="26" t="s">
        <v>45</v>
      </c>
      <c r="AM3" s="10" t="s">
        <v>210</v>
      </c>
      <c r="AN3" s="2" t="s">
        <v>46</v>
      </c>
      <c r="BF3" s="96"/>
      <c r="BG3" s="93" t="s">
        <v>45</v>
      </c>
      <c r="BH3" s="93" t="s">
        <v>210</v>
      </c>
      <c r="BI3" s="93" t="s">
        <v>46</v>
      </c>
      <c r="BJ3" s="93" t="s">
        <v>45</v>
      </c>
      <c r="BK3" s="93" t="s">
        <v>210</v>
      </c>
      <c r="BL3" s="93" t="s">
        <v>46</v>
      </c>
      <c r="BM3" s="93" t="s">
        <v>45</v>
      </c>
      <c r="BN3" s="93" t="s">
        <v>210</v>
      </c>
      <c r="BO3" s="93" t="s">
        <v>46</v>
      </c>
      <c r="BP3" s="93" t="s">
        <v>45</v>
      </c>
      <c r="BQ3" s="93" t="s">
        <v>210</v>
      </c>
      <c r="BR3" s="94" t="s">
        <v>46</v>
      </c>
      <c r="BS3" s="93" t="s">
        <v>45</v>
      </c>
      <c r="BT3" s="93" t="s">
        <v>210</v>
      </c>
      <c r="BU3" s="94" t="s">
        <v>46</v>
      </c>
      <c r="BV3" s="37"/>
    </row>
    <row r="4" spans="1:74" x14ac:dyDescent="0.3">
      <c r="A4" s="4" t="s">
        <v>173</v>
      </c>
      <c r="B4" s="13">
        <v>134</v>
      </c>
      <c r="C4" s="13">
        <v>1.7</v>
      </c>
      <c r="D4" s="13">
        <v>35.200000000000003</v>
      </c>
      <c r="E4" s="13">
        <v>10.35</v>
      </c>
      <c r="F4" s="13">
        <v>60</v>
      </c>
      <c r="G4" s="13">
        <v>0.6</v>
      </c>
      <c r="J4" s="4" t="s">
        <v>173</v>
      </c>
      <c r="K4" s="5">
        <f t="shared" ref="K4:K16" si="0">B4/10</f>
        <v>13.4</v>
      </c>
      <c r="L4" s="22">
        <f t="shared" ref="L4:L16" si="1">C4/10</f>
        <v>0.16999999999999998</v>
      </c>
      <c r="M4" s="22">
        <f t="shared" ref="M4:M16" si="2">D4/10</f>
        <v>3.5200000000000005</v>
      </c>
      <c r="N4" s="22">
        <f t="shared" ref="N4:N16" si="3">E4/10</f>
        <v>1.0349999999999999</v>
      </c>
      <c r="Q4" s="20" t="s">
        <v>200</v>
      </c>
      <c r="R4" s="22">
        <f>AVERAGE(K6:K8)</f>
        <v>22.766666666666666</v>
      </c>
      <c r="S4" s="22">
        <f>AVERAGE(L6:L8)</f>
        <v>0.19000000000000003</v>
      </c>
      <c r="T4" s="22">
        <f>AVERAGE(M6:M8)</f>
        <v>3.1266666666666665</v>
      </c>
      <c r="U4" s="22">
        <f>AVERAGE(N6:N8)</f>
        <v>1.1696666666666664</v>
      </c>
      <c r="X4" s="25" t="s">
        <v>47</v>
      </c>
      <c r="Y4">
        <v>14.033333333333333</v>
      </c>
      <c r="Z4" s="22">
        <v>30.233333333333331</v>
      </c>
      <c r="AA4" s="22">
        <v>16.2</v>
      </c>
      <c r="AB4" s="22">
        <v>6.7466666666666661</v>
      </c>
      <c r="AC4" s="22">
        <v>0.21999999999999997</v>
      </c>
      <c r="AD4" s="22">
        <v>0.15666666666666665</v>
      </c>
      <c r="AE4" s="22">
        <v>0.80333333333333334</v>
      </c>
      <c r="AF4" s="22">
        <v>0.94000000000000006</v>
      </c>
      <c r="AG4" s="22">
        <v>3.206666666666667</v>
      </c>
      <c r="AH4" s="22">
        <v>0.24633333333333338</v>
      </c>
      <c r="AI4" s="22">
        <v>1.0980000000000001</v>
      </c>
      <c r="AJ4" s="22">
        <v>0.93900000000000006</v>
      </c>
      <c r="AK4" s="22"/>
      <c r="AL4" s="22">
        <f t="shared" ref="AL4:AN9" si="4">Y4/AB4</f>
        <v>2.0800395256916997</v>
      </c>
      <c r="AM4">
        <f t="shared" si="4"/>
        <v>137.42424242424244</v>
      </c>
      <c r="AN4">
        <f t="shared" si="4"/>
        <v>103.40425531914894</v>
      </c>
      <c r="AQ4" s="27" t="s">
        <v>44</v>
      </c>
      <c r="AR4" s="28" t="s">
        <v>56</v>
      </c>
      <c r="AS4" s="10" t="s">
        <v>20</v>
      </c>
      <c r="AT4" s="10" t="s">
        <v>22</v>
      </c>
      <c r="AV4" s="27" t="s">
        <v>44</v>
      </c>
      <c r="AW4" s="28" t="s">
        <v>142</v>
      </c>
      <c r="AX4" s="10" t="s">
        <v>20</v>
      </c>
      <c r="AY4" s="10" t="s">
        <v>22</v>
      </c>
      <c r="BA4" s="27" t="s">
        <v>44</v>
      </c>
      <c r="BB4" s="28" t="s">
        <v>58</v>
      </c>
      <c r="BC4" s="29" t="s">
        <v>20</v>
      </c>
      <c r="BD4" s="29" t="s">
        <v>22</v>
      </c>
      <c r="BF4" s="92" t="s">
        <v>47</v>
      </c>
      <c r="BG4" s="60">
        <v>14.033333333333333</v>
      </c>
      <c r="BH4" s="60">
        <v>30.233333333333331</v>
      </c>
      <c r="BI4" s="60">
        <v>16.2</v>
      </c>
      <c r="BJ4" s="60">
        <v>6.7466666666666661</v>
      </c>
      <c r="BK4" s="60">
        <v>0.21999999999999997</v>
      </c>
      <c r="BL4" s="60">
        <v>0.15666666666666665</v>
      </c>
      <c r="BM4" s="60">
        <v>0.80333333333333334</v>
      </c>
      <c r="BN4" s="60">
        <v>0.94000000000000006</v>
      </c>
      <c r="BO4" s="60">
        <v>3.206666666666667</v>
      </c>
      <c r="BP4" s="60">
        <v>0.24633333333333338</v>
      </c>
      <c r="BQ4" s="60">
        <v>1.0980000000000001</v>
      </c>
      <c r="BR4" s="60">
        <v>0.93900000000000006</v>
      </c>
      <c r="BS4" s="60">
        <v>2.0800395256916997</v>
      </c>
      <c r="BT4" s="60">
        <v>137.42424242424244</v>
      </c>
      <c r="BU4" s="60">
        <v>103.40425531914894</v>
      </c>
      <c r="BV4" s="37"/>
    </row>
    <row r="5" spans="1:74" x14ac:dyDescent="0.3">
      <c r="A5" s="4" t="s">
        <v>174</v>
      </c>
      <c r="B5" s="13">
        <v>152</v>
      </c>
      <c r="C5" s="13">
        <v>1.6</v>
      </c>
      <c r="D5" s="13">
        <v>25.8</v>
      </c>
      <c r="E5" s="13">
        <v>9.67</v>
      </c>
      <c r="F5" s="13">
        <v>60</v>
      </c>
      <c r="G5" s="13">
        <v>0.6</v>
      </c>
      <c r="J5" s="4" t="s">
        <v>174</v>
      </c>
      <c r="K5" s="5">
        <f t="shared" si="0"/>
        <v>15.2</v>
      </c>
      <c r="L5" s="22">
        <f t="shared" si="1"/>
        <v>0.16</v>
      </c>
      <c r="M5" s="22">
        <f t="shared" si="2"/>
        <v>2.58</v>
      </c>
      <c r="N5" s="22">
        <f t="shared" si="3"/>
        <v>0.96699999999999997</v>
      </c>
      <c r="Q5" s="23" t="s">
        <v>201</v>
      </c>
      <c r="R5" s="22">
        <f>AVERAGE(K9:K11)</f>
        <v>14</v>
      </c>
      <c r="S5" s="22">
        <f>AVERAGE(L9:L11)</f>
        <v>0.36999999999999994</v>
      </c>
      <c r="T5" s="22">
        <f>AVERAGE(M9:M11)</f>
        <v>3.9599999999999995</v>
      </c>
      <c r="U5" s="22">
        <f>AVERAGE(N9:N11)</f>
        <v>4.833333333333333</v>
      </c>
      <c r="X5" s="25" t="s">
        <v>48</v>
      </c>
      <c r="Y5">
        <v>15</v>
      </c>
      <c r="Z5" s="22">
        <v>36.533333333333331</v>
      </c>
      <c r="AA5" s="22">
        <v>22.766666666666666</v>
      </c>
      <c r="AB5" s="22">
        <v>9.2433333333333341</v>
      </c>
      <c r="AC5" s="22">
        <v>0.46666666666666662</v>
      </c>
      <c r="AD5" s="22">
        <v>0.19000000000000003</v>
      </c>
      <c r="AE5" s="22">
        <v>0.94000000000000006</v>
      </c>
      <c r="AF5" s="22">
        <v>1.41</v>
      </c>
      <c r="AG5" s="22">
        <v>3.1266666666666665</v>
      </c>
      <c r="AH5" s="22">
        <v>0.29733333333333334</v>
      </c>
      <c r="AI5" s="22">
        <v>1.4166666666666667</v>
      </c>
      <c r="AJ5" s="22">
        <v>1.1696666666666664</v>
      </c>
      <c r="AK5" s="22"/>
      <c r="AL5" s="22">
        <f t="shared" si="4"/>
        <v>1.6227912008654886</v>
      </c>
      <c r="AM5">
        <f t="shared" si="4"/>
        <v>78.285714285714292</v>
      </c>
      <c r="AN5">
        <f t="shared" si="4"/>
        <v>119.82456140350875</v>
      </c>
      <c r="AQ5" s="25" t="s">
        <v>47</v>
      </c>
      <c r="AR5" s="37">
        <v>3.5399999999999996</v>
      </c>
      <c r="AS5">
        <f t="shared" ref="AS5:AS10" si="5">AB4*AR5</f>
        <v>23.883199999999995</v>
      </c>
      <c r="AT5">
        <f t="shared" ref="AT5:AT10" si="6">AH4*AR5</f>
        <v>0.87202000000000002</v>
      </c>
      <c r="AV5" s="25" t="s">
        <v>47</v>
      </c>
      <c r="AW5" s="60">
        <v>40.486666666666672</v>
      </c>
      <c r="AX5">
        <f t="shared" ref="AX5:AX10" si="7">AC4*AW5</f>
        <v>8.9070666666666671</v>
      </c>
      <c r="AY5">
        <f t="shared" ref="AY5:AY10" si="8">AI4*AW5</f>
        <v>44.454360000000008</v>
      </c>
      <c r="BA5" s="25" t="s">
        <v>47</v>
      </c>
      <c r="BB5" s="60">
        <v>7.993333333333335</v>
      </c>
      <c r="BC5">
        <f t="shared" ref="BC5:BC10" si="9">AD4*BB5</f>
        <v>1.252288888888889</v>
      </c>
      <c r="BD5">
        <f t="shared" ref="BD5:BD10" si="10">AJ4*BB5</f>
        <v>7.5057400000000021</v>
      </c>
      <c r="BF5" s="92" t="s">
        <v>48</v>
      </c>
      <c r="BG5" s="60">
        <v>15</v>
      </c>
      <c r="BH5" s="60">
        <v>36.533333333333331</v>
      </c>
      <c r="BI5" s="60">
        <v>22.766666666666666</v>
      </c>
      <c r="BJ5" s="60">
        <v>9.2433333333333341</v>
      </c>
      <c r="BK5" s="60">
        <v>0.46666666666666662</v>
      </c>
      <c r="BL5" s="60">
        <v>0.19000000000000003</v>
      </c>
      <c r="BM5" s="60">
        <v>0.94000000000000006</v>
      </c>
      <c r="BN5" s="60">
        <v>1.41</v>
      </c>
      <c r="BO5" s="60">
        <v>3.1266666666666665</v>
      </c>
      <c r="BP5" s="60">
        <v>0.29733333333333334</v>
      </c>
      <c r="BQ5" s="60">
        <v>1.4166666666666667</v>
      </c>
      <c r="BR5" s="60">
        <v>1.1696666666666664</v>
      </c>
      <c r="BS5" s="60">
        <v>1.6227912008654886</v>
      </c>
      <c r="BT5" s="60">
        <v>78.285714285714292</v>
      </c>
      <c r="BU5" s="60">
        <v>119.82456140350875</v>
      </c>
      <c r="BV5" s="37"/>
    </row>
    <row r="6" spans="1:74" x14ac:dyDescent="0.3">
      <c r="A6" s="4" t="s">
        <v>175</v>
      </c>
      <c r="B6" s="13">
        <v>197</v>
      </c>
      <c r="C6" s="13">
        <v>1.7</v>
      </c>
      <c r="D6" s="13">
        <v>30.5</v>
      </c>
      <c r="E6" s="13">
        <v>11.86</v>
      </c>
      <c r="F6" s="13">
        <v>60</v>
      </c>
      <c r="G6" s="13">
        <v>0.6</v>
      </c>
      <c r="J6" s="4" t="s">
        <v>175</v>
      </c>
      <c r="K6" s="5">
        <f t="shared" si="0"/>
        <v>19.7</v>
      </c>
      <c r="L6" s="22">
        <f t="shared" si="1"/>
        <v>0.16999999999999998</v>
      </c>
      <c r="M6" s="22">
        <f t="shared" si="2"/>
        <v>3.05</v>
      </c>
      <c r="N6" s="22">
        <f t="shared" si="3"/>
        <v>1.1859999999999999</v>
      </c>
      <c r="Q6" s="20" t="s">
        <v>202</v>
      </c>
      <c r="R6" s="22">
        <f>AVERAGE(K12:K14)</f>
        <v>13.766666666666667</v>
      </c>
      <c r="S6" s="22">
        <f>AVERAGE(L12:L14)</f>
        <v>1.1566666666666667</v>
      </c>
      <c r="T6" s="22">
        <f>AVERAGE(M12:M14)</f>
        <v>4.1000000000000005</v>
      </c>
      <c r="U6" s="22">
        <f>AVERAGE(N12:N14)</f>
        <v>15.566666666666668</v>
      </c>
      <c r="X6" s="25" t="s">
        <v>49</v>
      </c>
      <c r="Y6">
        <v>8.5366666666666671</v>
      </c>
      <c r="Z6" s="22">
        <v>36.199999999999996</v>
      </c>
      <c r="AA6" s="22">
        <v>14</v>
      </c>
      <c r="AB6" s="22">
        <v>20.966666666666669</v>
      </c>
      <c r="AC6" s="22">
        <v>2.08</v>
      </c>
      <c r="AD6" s="22">
        <v>0.36999999999999994</v>
      </c>
      <c r="AE6" s="22">
        <v>1.0966666666666667</v>
      </c>
      <c r="AF6" s="22">
        <v>1.5666666666666667</v>
      </c>
      <c r="AG6" s="22">
        <v>3.9599999999999995</v>
      </c>
      <c r="AH6" s="22">
        <v>0.64433333333333331</v>
      </c>
      <c r="AI6" s="22">
        <v>2.1033333333333331</v>
      </c>
      <c r="AJ6" s="22">
        <v>4.833333333333333</v>
      </c>
      <c r="AK6" s="22"/>
      <c r="AL6" s="22">
        <f t="shared" si="4"/>
        <v>0.40715421303656596</v>
      </c>
      <c r="AM6">
        <f t="shared" si="4"/>
        <v>17.40384615384615</v>
      </c>
      <c r="AN6">
        <f t="shared" si="4"/>
        <v>37.837837837837846</v>
      </c>
      <c r="AQ6" s="25" t="s">
        <v>48</v>
      </c>
      <c r="AR6" s="60">
        <v>2.3466666666666662</v>
      </c>
      <c r="AS6">
        <f t="shared" si="5"/>
        <v>21.69102222222222</v>
      </c>
      <c r="AT6">
        <f t="shared" si="6"/>
        <v>0.69774222222222215</v>
      </c>
      <c r="AV6" s="25" t="s">
        <v>48</v>
      </c>
      <c r="AW6" s="60">
        <v>39.306666666666672</v>
      </c>
      <c r="AX6">
        <f t="shared" si="7"/>
        <v>18.34311111111111</v>
      </c>
      <c r="AY6">
        <f t="shared" si="8"/>
        <v>55.684444444444452</v>
      </c>
      <c r="BA6" s="25" t="s">
        <v>48</v>
      </c>
      <c r="BB6" s="60">
        <v>9.1366666666666685</v>
      </c>
      <c r="BC6">
        <f t="shared" si="9"/>
        <v>1.7359666666666673</v>
      </c>
      <c r="BD6">
        <f t="shared" si="10"/>
        <v>10.686854444444444</v>
      </c>
      <c r="BF6" s="92" t="s">
        <v>49</v>
      </c>
      <c r="BG6" s="60">
        <v>8.5366666666666671</v>
      </c>
      <c r="BH6" s="60">
        <v>36.199999999999996</v>
      </c>
      <c r="BI6" s="60">
        <v>14</v>
      </c>
      <c r="BJ6" s="60">
        <v>20.966666666666669</v>
      </c>
      <c r="BK6" s="60">
        <v>2.08</v>
      </c>
      <c r="BL6" s="60">
        <v>0.36999999999999994</v>
      </c>
      <c r="BM6" s="60">
        <v>1.0966666666666667</v>
      </c>
      <c r="BN6" s="60">
        <v>1.5666666666666667</v>
      </c>
      <c r="BO6" s="60">
        <v>3.9599999999999995</v>
      </c>
      <c r="BP6" s="60">
        <v>0.64433333333333331</v>
      </c>
      <c r="BQ6" s="60">
        <v>2.1033333333333331</v>
      </c>
      <c r="BR6" s="60">
        <v>4.833333333333333</v>
      </c>
      <c r="BS6" s="60">
        <v>0.40715421303656596</v>
      </c>
      <c r="BT6" s="60">
        <v>17.40384615384615</v>
      </c>
      <c r="BU6" s="60">
        <v>37.837837837837846</v>
      </c>
      <c r="BV6" s="37"/>
    </row>
    <row r="7" spans="1:74" x14ac:dyDescent="0.3">
      <c r="A7" s="4" t="s">
        <v>176</v>
      </c>
      <c r="B7" s="13">
        <v>242</v>
      </c>
      <c r="C7" s="13">
        <v>2</v>
      </c>
      <c r="D7" s="13">
        <v>30.5</v>
      </c>
      <c r="E7" s="13">
        <v>11.19</v>
      </c>
      <c r="F7" s="13">
        <v>60</v>
      </c>
      <c r="G7" s="13">
        <v>0.6</v>
      </c>
      <c r="J7" s="4" t="s">
        <v>176</v>
      </c>
      <c r="K7" s="5">
        <f t="shared" si="0"/>
        <v>24.2</v>
      </c>
      <c r="L7" s="22">
        <f t="shared" si="1"/>
        <v>0.2</v>
      </c>
      <c r="M7" s="22">
        <f t="shared" si="2"/>
        <v>3.05</v>
      </c>
      <c r="N7" s="22">
        <f t="shared" si="3"/>
        <v>1.119</v>
      </c>
      <c r="Q7" s="20" t="s">
        <v>203</v>
      </c>
      <c r="R7" s="24">
        <v>12.6</v>
      </c>
      <c r="S7" s="24">
        <f t="shared" ref="S7:U8" si="11">AVERAGE(L15)</f>
        <v>4.0600000000000005</v>
      </c>
      <c r="T7" s="24">
        <f t="shared" si="11"/>
        <v>4.79</v>
      </c>
      <c r="U7" s="24">
        <f t="shared" si="11"/>
        <v>22.5</v>
      </c>
      <c r="X7" s="25" t="s">
        <v>50</v>
      </c>
      <c r="Y7">
        <v>5.4333333333333327</v>
      </c>
      <c r="Z7" s="22">
        <v>32.733333333333327</v>
      </c>
      <c r="AA7" s="22">
        <v>13.766666666666667</v>
      </c>
      <c r="AB7" s="22">
        <v>28.166666666666668</v>
      </c>
      <c r="AC7" s="22">
        <v>9.7933333333333348</v>
      </c>
      <c r="AD7" s="22">
        <v>1.1566666666666667</v>
      </c>
      <c r="AE7" s="22">
        <v>1.41</v>
      </c>
      <c r="AF7" s="22">
        <v>1.8800000000000001</v>
      </c>
      <c r="AG7" s="22">
        <v>4.1000000000000005</v>
      </c>
      <c r="AH7" s="22">
        <v>1.1219999999999999</v>
      </c>
      <c r="AI7" s="22">
        <v>9.8133333333333344</v>
      </c>
      <c r="AJ7" s="22">
        <v>15.566666666666668</v>
      </c>
      <c r="AK7" s="22"/>
      <c r="AL7" s="22">
        <f t="shared" si="4"/>
        <v>0.19289940828402363</v>
      </c>
      <c r="AM7">
        <f t="shared" si="4"/>
        <v>3.3424098025867925</v>
      </c>
      <c r="AN7">
        <f t="shared" si="4"/>
        <v>11.902017291066283</v>
      </c>
      <c r="AQ7" s="25" t="s">
        <v>49</v>
      </c>
      <c r="AR7" s="37">
        <v>2.06</v>
      </c>
      <c r="AS7">
        <f t="shared" si="5"/>
        <v>43.19133333333334</v>
      </c>
      <c r="AT7">
        <f t="shared" si="6"/>
        <v>1.3273266666666668</v>
      </c>
      <c r="AV7" s="25" t="s">
        <v>49</v>
      </c>
      <c r="AW7" s="60">
        <v>25.766666666666666</v>
      </c>
      <c r="AX7">
        <f t="shared" si="7"/>
        <v>53.594666666666669</v>
      </c>
      <c r="AY7">
        <f t="shared" si="8"/>
        <v>54.195888888888881</v>
      </c>
      <c r="BA7" s="25" t="s">
        <v>49</v>
      </c>
      <c r="BB7" s="37">
        <v>4.7399999999999993</v>
      </c>
      <c r="BC7">
        <f t="shared" si="9"/>
        <v>1.7537999999999994</v>
      </c>
      <c r="BD7">
        <f t="shared" si="10"/>
        <v>22.909999999999997</v>
      </c>
      <c r="BF7" s="92" t="s">
        <v>50</v>
      </c>
      <c r="BG7" s="60">
        <v>5.4333333333333327</v>
      </c>
      <c r="BH7" s="60">
        <v>32.733333333333327</v>
      </c>
      <c r="BI7" s="60">
        <v>13.766666666666667</v>
      </c>
      <c r="BJ7" s="60">
        <v>28.166666666666668</v>
      </c>
      <c r="BK7" s="60">
        <v>9.7933333333333348</v>
      </c>
      <c r="BL7" s="60">
        <v>1.1566666666666667</v>
      </c>
      <c r="BM7" s="60">
        <v>1.41</v>
      </c>
      <c r="BN7" s="60">
        <v>1.8800000000000001</v>
      </c>
      <c r="BO7" s="60">
        <v>4.1000000000000005</v>
      </c>
      <c r="BP7" s="60">
        <v>1.1219999999999999</v>
      </c>
      <c r="BQ7" s="60">
        <v>9.8133333333333344</v>
      </c>
      <c r="BR7" s="60">
        <v>15.566666666666668</v>
      </c>
      <c r="BS7" s="60">
        <v>0.19289940828402363</v>
      </c>
      <c r="BT7" s="60">
        <v>3.3424098025867925</v>
      </c>
      <c r="BU7" s="60">
        <v>11.902017291066283</v>
      </c>
      <c r="BV7" s="37"/>
    </row>
    <row r="8" spans="1:74" x14ac:dyDescent="0.3">
      <c r="A8" s="4" t="s">
        <v>177</v>
      </c>
      <c r="B8" s="13">
        <v>244</v>
      </c>
      <c r="C8" s="13">
        <v>2</v>
      </c>
      <c r="D8" s="13">
        <v>32.799999999999997</v>
      </c>
      <c r="E8" s="13">
        <v>12.04</v>
      </c>
      <c r="F8" s="13">
        <v>60</v>
      </c>
      <c r="G8" s="13">
        <v>0.6</v>
      </c>
      <c r="J8" s="4" t="s">
        <v>177</v>
      </c>
      <c r="K8" s="5">
        <f t="shared" si="0"/>
        <v>24.4</v>
      </c>
      <c r="L8" s="22">
        <f t="shared" si="1"/>
        <v>0.2</v>
      </c>
      <c r="M8" s="22">
        <f t="shared" si="2"/>
        <v>3.28</v>
      </c>
      <c r="N8" s="22">
        <f t="shared" si="3"/>
        <v>1.204</v>
      </c>
      <c r="Q8" s="20" t="s">
        <v>204</v>
      </c>
      <c r="R8" s="24">
        <v>11.9</v>
      </c>
      <c r="S8" s="24">
        <f t="shared" si="11"/>
        <v>5.1899999999999995</v>
      </c>
      <c r="T8" s="24">
        <f t="shared" si="11"/>
        <v>2.81</v>
      </c>
      <c r="U8" s="24">
        <f t="shared" si="11"/>
        <v>23.1</v>
      </c>
      <c r="X8" s="25" t="s">
        <v>51</v>
      </c>
      <c r="Y8" s="24">
        <v>5.03</v>
      </c>
      <c r="Z8" s="24">
        <v>32</v>
      </c>
      <c r="AA8" s="24">
        <v>12.6</v>
      </c>
      <c r="AB8" s="24">
        <v>33.799999999999997</v>
      </c>
      <c r="AC8" s="24">
        <v>19</v>
      </c>
      <c r="AD8" s="24">
        <v>4.0600000000000005</v>
      </c>
      <c r="AE8" s="24">
        <v>1.8800000000000001</v>
      </c>
      <c r="AF8" s="24">
        <v>1.8800000000000001</v>
      </c>
      <c r="AG8" s="24">
        <v>4.79</v>
      </c>
      <c r="AH8" s="24">
        <v>1.97</v>
      </c>
      <c r="AI8" s="24">
        <v>15.1</v>
      </c>
      <c r="AJ8" s="24">
        <v>22.5</v>
      </c>
      <c r="AK8" s="22"/>
      <c r="AL8" s="22">
        <f t="shared" si="4"/>
        <v>0.14881656804733731</v>
      </c>
      <c r="AM8">
        <f t="shared" si="4"/>
        <v>1.6842105263157894</v>
      </c>
      <c r="AN8">
        <f t="shared" si="4"/>
        <v>3.1034482758620685</v>
      </c>
      <c r="AQ8" s="25" t="s">
        <v>50</v>
      </c>
      <c r="AR8" s="37">
        <v>1.03</v>
      </c>
      <c r="AS8">
        <f t="shared" si="5"/>
        <v>29.01166666666667</v>
      </c>
      <c r="AT8">
        <f t="shared" si="6"/>
        <v>1.1556599999999999</v>
      </c>
      <c r="AV8" s="25" t="s">
        <v>50</v>
      </c>
      <c r="AW8" s="60">
        <v>11.523333333333333</v>
      </c>
      <c r="AX8">
        <f t="shared" si="7"/>
        <v>112.85184444444447</v>
      </c>
      <c r="AY8">
        <f t="shared" si="8"/>
        <v>113.08231111111112</v>
      </c>
      <c r="BA8" s="25" t="s">
        <v>50</v>
      </c>
      <c r="BB8" s="60">
        <v>2.0466666666666669</v>
      </c>
      <c r="BC8">
        <f t="shared" si="9"/>
        <v>2.3673111111111114</v>
      </c>
      <c r="BD8">
        <f t="shared" si="10"/>
        <v>31.859777777777783</v>
      </c>
      <c r="BF8" s="92" t="s">
        <v>51</v>
      </c>
      <c r="BG8" s="99">
        <v>5.03</v>
      </c>
      <c r="BH8" s="99">
        <v>32</v>
      </c>
      <c r="BI8" s="99">
        <v>12.6</v>
      </c>
      <c r="BJ8" s="99">
        <v>33.799999999999997</v>
      </c>
      <c r="BK8" s="99">
        <v>19</v>
      </c>
      <c r="BL8" s="99">
        <v>4.0600000000000005</v>
      </c>
      <c r="BM8" s="99">
        <v>1.8800000000000001</v>
      </c>
      <c r="BN8" s="99">
        <v>1.8800000000000001</v>
      </c>
      <c r="BO8" s="99">
        <v>4.79</v>
      </c>
      <c r="BP8" s="99">
        <v>1.97</v>
      </c>
      <c r="BQ8" s="99">
        <v>15.1</v>
      </c>
      <c r="BR8" s="99">
        <v>22.5</v>
      </c>
      <c r="BS8" s="60">
        <v>0.14881656804733731</v>
      </c>
      <c r="BT8" s="60">
        <v>1.6842105263157894</v>
      </c>
      <c r="BU8" s="60">
        <v>3.1034482758620685</v>
      </c>
      <c r="BV8" s="37"/>
    </row>
    <row r="9" spans="1:74" x14ac:dyDescent="0.3">
      <c r="A9" s="4" t="s">
        <v>178</v>
      </c>
      <c r="B9" s="13">
        <v>143</v>
      </c>
      <c r="C9" s="13">
        <v>3.1</v>
      </c>
      <c r="D9" s="13">
        <v>39.6</v>
      </c>
      <c r="E9" s="13">
        <v>49.5</v>
      </c>
      <c r="F9" s="13">
        <v>60</v>
      </c>
      <c r="G9" s="13">
        <v>0.6</v>
      </c>
      <c r="J9" s="4" t="s">
        <v>178</v>
      </c>
      <c r="K9" s="5">
        <f t="shared" si="0"/>
        <v>14.3</v>
      </c>
      <c r="L9" s="22">
        <f t="shared" si="1"/>
        <v>0.31</v>
      </c>
      <c r="M9" s="22">
        <f t="shared" si="2"/>
        <v>3.96</v>
      </c>
      <c r="N9" s="22">
        <f t="shared" si="3"/>
        <v>4.95</v>
      </c>
      <c r="X9" s="25" t="s">
        <v>52</v>
      </c>
      <c r="Y9" s="16">
        <v>4.24</v>
      </c>
      <c r="Z9" s="24">
        <v>30.4</v>
      </c>
      <c r="AA9" s="24">
        <v>11.9</v>
      </c>
      <c r="AB9" s="24">
        <v>44.6</v>
      </c>
      <c r="AC9" s="24">
        <v>34.799999999999997</v>
      </c>
      <c r="AD9" s="24">
        <v>5.1899999999999995</v>
      </c>
      <c r="AE9" s="24">
        <v>2.34</v>
      </c>
      <c r="AF9" s="24">
        <v>2.34</v>
      </c>
      <c r="AG9" s="24">
        <v>2.81</v>
      </c>
      <c r="AH9" s="24">
        <v>2.96</v>
      </c>
      <c r="AI9" s="24">
        <v>24.5</v>
      </c>
      <c r="AJ9" s="24">
        <v>23.1</v>
      </c>
      <c r="AK9" s="22"/>
      <c r="AL9" s="22">
        <f t="shared" si="4"/>
        <v>9.5067264573991034E-2</v>
      </c>
      <c r="AM9">
        <f t="shared" si="4"/>
        <v>0.87356321839080464</v>
      </c>
      <c r="AN9">
        <f t="shared" si="4"/>
        <v>2.292870905587669</v>
      </c>
      <c r="AQ9" s="25" t="s">
        <v>51</v>
      </c>
      <c r="AR9" s="46">
        <v>0.41000000000000014</v>
      </c>
      <c r="AS9">
        <f t="shared" si="5"/>
        <v>13.858000000000004</v>
      </c>
      <c r="AT9">
        <f t="shared" si="6"/>
        <v>0.80770000000000031</v>
      </c>
      <c r="AV9" s="25" t="s">
        <v>51</v>
      </c>
      <c r="AW9" s="37">
        <v>3.8200000000000003</v>
      </c>
      <c r="AX9">
        <f t="shared" si="7"/>
        <v>72.580000000000013</v>
      </c>
      <c r="AY9">
        <f t="shared" si="8"/>
        <v>57.682000000000002</v>
      </c>
      <c r="BA9" s="25" t="s">
        <v>51</v>
      </c>
      <c r="BB9" s="37">
        <v>1.0199999999999996</v>
      </c>
      <c r="BC9">
        <f t="shared" si="9"/>
        <v>4.1411999999999987</v>
      </c>
      <c r="BD9">
        <f t="shared" si="10"/>
        <v>22.949999999999989</v>
      </c>
      <c r="BF9" s="92" t="s">
        <v>52</v>
      </c>
      <c r="BG9" s="99">
        <v>4.24</v>
      </c>
      <c r="BH9" s="99">
        <v>30.4</v>
      </c>
      <c r="BI9" s="99">
        <v>11.9</v>
      </c>
      <c r="BJ9" s="99">
        <v>44.6</v>
      </c>
      <c r="BK9" s="99">
        <v>34.799999999999997</v>
      </c>
      <c r="BL9" s="99">
        <v>5.1899999999999995</v>
      </c>
      <c r="BM9" s="99">
        <v>2.34</v>
      </c>
      <c r="BN9" s="99">
        <v>2.34</v>
      </c>
      <c r="BO9" s="99">
        <v>2.81</v>
      </c>
      <c r="BP9" s="99">
        <v>2.96</v>
      </c>
      <c r="BQ9" s="99">
        <v>24.5</v>
      </c>
      <c r="BR9" s="99">
        <v>23.1</v>
      </c>
      <c r="BS9" s="60">
        <v>9.5067264573991034E-2</v>
      </c>
      <c r="BT9" s="60">
        <v>0.87356321839080464</v>
      </c>
      <c r="BU9" s="60">
        <v>2.292870905587669</v>
      </c>
      <c r="BV9" s="37"/>
    </row>
    <row r="10" spans="1:74" x14ac:dyDescent="0.3">
      <c r="A10" s="4" t="s">
        <v>179</v>
      </c>
      <c r="B10" s="13">
        <v>144</v>
      </c>
      <c r="C10" s="13">
        <v>3.7</v>
      </c>
      <c r="D10" s="13">
        <v>37.5</v>
      </c>
      <c r="E10" s="13">
        <v>47.1</v>
      </c>
      <c r="F10" s="13">
        <v>60</v>
      </c>
      <c r="G10" s="13">
        <v>0.6</v>
      </c>
      <c r="J10" s="4" t="s">
        <v>179</v>
      </c>
      <c r="K10" s="5">
        <f t="shared" si="0"/>
        <v>14.4</v>
      </c>
      <c r="L10" s="22">
        <f t="shared" si="1"/>
        <v>0.37</v>
      </c>
      <c r="M10" s="22">
        <f t="shared" si="2"/>
        <v>3.75</v>
      </c>
      <c r="N10" s="22">
        <f t="shared" si="3"/>
        <v>4.71</v>
      </c>
      <c r="Y10">
        <f>Y4/Y9</f>
        <v>3.3097484276729556</v>
      </c>
      <c r="Z10">
        <f>Z9/Z4</f>
        <v>1.0055126791620728</v>
      </c>
      <c r="AA10">
        <f>AA4/AA9</f>
        <v>1.3613445378151259</v>
      </c>
      <c r="AB10">
        <f>AB9/AB4</f>
        <v>6.6106719367588944</v>
      </c>
      <c r="AC10">
        <f>AC9/AC4</f>
        <v>158.18181818181819</v>
      </c>
      <c r="AD10">
        <f>AD9/AD4</f>
        <v>33.127659574468083</v>
      </c>
      <c r="AE10">
        <f>AE9/AE4</f>
        <v>2.912863070539419</v>
      </c>
      <c r="AF10">
        <f>AF9/AF4</f>
        <v>2.4893617021276593</v>
      </c>
      <c r="AG10">
        <f>AG4/AG9</f>
        <v>1.1411625148279954</v>
      </c>
      <c r="AH10">
        <f>AH9/AH4</f>
        <v>12.016238159675234</v>
      </c>
      <c r="AI10">
        <f>AI9/AI4</f>
        <v>22.313296903460834</v>
      </c>
      <c r="AJ10">
        <f>AJ9/AJ4</f>
        <v>24.600638977635782</v>
      </c>
      <c r="AQ10" s="25" t="s">
        <v>52</v>
      </c>
      <c r="AR10" s="46">
        <v>0.44999999999999929</v>
      </c>
      <c r="AS10">
        <f t="shared" si="5"/>
        <v>20.069999999999968</v>
      </c>
      <c r="AT10">
        <f t="shared" si="6"/>
        <v>1.3319999999999979</v>
      </c>
      <c r="AV10" s="25" t="s">
        <v>52</v>
      </c>
      <c r="AW10" s="37">
        <v>3.0399999999999991</v>
      </c>
      <c r="AX10">
        <f t="shared" si="7"/>
        <v>105.79199999999996</v>
      </c>
      <c r="AY10">
        <f t="shared" si="8"/>
        <v>74.479999999999976</v>
      </c>
      <c r="BA10" s="25" t="s">
        <v>52</v>
      </c>
      <c r="BB10" s="37">
        <v>1.7400000000000002</v>
      </c>
      <c r="BC10">
        <f t="shared" si="9"/>
        <v>9.0305999999999997</v>
      </c>
      <c r="BD10">
        <f t="shared" si="10"/>
        <v>40.19400000000001</v>
      </c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>
        <f>BS4/BS9</f>
        <v>21.879661048549483</v>
      </c>
      <c r="BT10" s="37">
        <f>BT4/BT9</f>
        <v>157.31459330143542</v>
      </c>
      <c r="BU10" s="37">
        <f>BU4/BU9</f>
        <v>45.098158412301089</v>
      </c>
      <c r="BV10" s="37"/>
    </row>
    <row r="11" spans="1:74" x14ac:dyDescent="0.3">
      <c r="A11" s="4" t="s">
        <v>180</v>
      </c>
      <c r="B11" s="13">
        <v>133</v>
      </c>
      <c r="C11" s="13">
        <v>4.3</v>
      </c>
      <c r="D11" s="13">
        <v>41.7</v>
      </c>
      <c r="E11" s="13">
        <v>48.4</v>
      </c>
      <c r="F11" s="13">
        <v>60</v>
      </c>
      <c r="G11" s="13">
        <v>0.6</v>
      </c>
      <c r="J11" s="4" t="s">
        <v>180</v>
      </c>
      <c r="K11" s="5">
        <f t="shared" si="0"/>
        <v>13.3</v>
      </c>
      <c r="L11" s="22">
        <f t="shared" si="1"/>
        <v>0.43</v>
      </c>
      <c r="M11" s="22">
        <f t="shared" si="2"/>
        <v>4.17</v>
      </c>
      <c r="N11" s="22">
        <f t="shared" si="3"/>
        <v>4.84</v>
      </c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</row>
    <row r="12" spans="1:74" x14ac:dyDescent="0.3">
      <c r="A12" s="4" t="s">
        <v>181</v>
      </c>
      <c r="B12" s="13">
        <v>149</v>
      </c>
      <c r="C12" s="13">
        <v>11.4</v>
      </c>
      <c r="D12" s="13">
        <v>37.5</v>
      </c>
      <c r="E12" s="13">
        <v>152</v>
      </c>
      <c r="F12" s="13">
        <v>60</v>
      </c>
      <c r="G12" s="13">
        <v>0.6</v>
      </c>
      <c r="J12" s="4" t="s">
        <v>181</v>
      </c>
      <c r="K12" s="5">
        <f t="shared" si="0"/>
        <v>14.9</v>
      </c>
      <c r="L12" s="22">
        <f t="shared" si="1"/>
        <v>1.1400000000000001</v>
      </c>
      <c r="M12" s="22">
        <f t="shared" si="2"/>
        <v>3.75</v>
      </c>
      <c r="N12" s="22">
        <f t="shared" si="3"/>
        <v>15.2</v>
      </c>
      <c r="X12" s="164" t="s">
        <v>54</v>
      </c>
      <c r="Y12" s="164"/>
      <c r="Z12" s="164"/>
      <c r="AA12" s="164" t="s">
        <v>55</v>
      </c>
      <c r="AB12" s="164"/>
      <c r="AC12" s="164"/>
    </row>
    <row r="13" spans="1:74" x14ac:dyDescent="0.3">
      <c r="A13" s="4" t="s">
        <v>182</v>
      </c>
      <c r="B13" s="13">
        <v>138</v>
      </c>
      <c r="C13" s="13">
        <v>13.1</v>
      </c>
      <c r="D13" s="13">
        <v>41.7</v>
      </c>
      <c r="E13" s="13">
        <v>155</v>
      </c>
      <c r="F13" s="13">
        <v>60</v>
      </c>
      <c r="G13" s="13">
        <v>0.6</v>
      </c>
      <c r="J13" s="4" t="s">
        <v>182</v>
      </c>
      <c r="K13" s="5">
        <f t="shared" si="0"/>
        <v>13.8</v>
      </c>
      <c r="L13" s="22">
        <f t="shared" si="1"/>
        <v>1.31</v>
      </c>
      <c r="M13" s="22">
        <f t="shared" si="2"/>
        <v>4.17</v>
      </c>
      <c r="N13" s="22">
        <f t="shared" si="3"/>
        <v>15.5</v>
      </c>
      <c r="X13" s="11" t="s">
        <v>45</v>
      </c>
      <c r="Y13" s="11" t="s">
        <v>210</v>
      </c>
      <c r="Z13" s="11" t="s">
        <v>46</v>
      </c>
      <c r="AA13" s="11" t="s">
        <v>45</v>
      </c>
      <c r="AB13" s="11" t="s">
        <v>210</v>
      </c>
      <c r="AC13" s="11" t="s">
        <v>46</v>
      </c>
    </row>
    <row r="14" spans="1:74" x14ac:dyDescent="0.3">
      <c r="A14" s="4" t="s">
        <v>183</v>
      </c>
      <c r="B14" s="13">
        <v>126</v>
      </c>
      <c r="C14" s="13">
        <v>10.199999999999999</v>
      </c>
      <c r="D14" s="13">
        <v>43.8</v>
      </c>
      <c r="E14" s="13">
        <v>160</v>
      </c>
      <c r="F14" s="13">
        <v>60</v>
      </c>
      <c r="G14" s="13">
        <v>0.6</v>
      </c>
      <c r="J14" s="4" t="s">
        <v>183</v>
      </c>
      <c r="K14" s="5">
        <f t="shared" si="0"/>
        <v>12.6</v>
      </c>
      <c r="L14" s="22">
        <f t="shared" si="1"/>
        <v>1.02</v>
      </c>
      <c r="M14" s="22">
        <f t="shared" si="2"/>
        <v>4.38</v>
      </c>
      <c r="N14" s="22">
        <f t="shared" si="3"/>
        <v>16</v>
      </c>
      <c r="X14">
        <f t="shared" ref="X14:AC14" si="12">AVERAGE(Y4:Y9)</f>
        <v>8.7122222222222216</v>
      </c>
      <c r="Y14">
        <f t="shared" si="12"/>
        <v>33.016666666666666</v>
      </c>
      <c r="Z14">
        <f t="shared" si="12"/>
        <v>15.205555555555556</v>
      </c>
      <c r="AA14">
        <f t="shared" si="12"/>
        <v>23.920555555555556</v>
      </c>
      <c r="AB14">
        <f t="shared" si="12"/>
        <v>11.06</v>
      </c>
      <c r="AC14">
        <f t="shared" si="12"/>
        <v>1.8538888888888889</v>
      </c>
    </row>
    <row r="15" spans="1:74" x14ac:dyDescent="0.3">
      <c r="A15" s="4" t="s">
        <v>184</v>
      </c>
      <c r="B15" s="13">
        <v>226</v>
      </c>
      <c r="C15" s="13">
        <v>40.6</v>
      </c>
      <c r="D15" s="13">
        <v>47.9</v>
      </c>
      <c r="E15" s="13">
        <v>225</v>
      </c>
      <c r="F15" s="13">
        <v>60</v>
      </c>
      <c r="G15" s="13">
        <v>0.6</v>
      </c>
      <c r="J15" s="4" t="s">
        <v>184</v>
      </c>
      <c r="K15" s="5">
        <f>B15/10</f>
        <v>22.6</v>
      </c>
      <c r="L15" s="22">
        <f t="shared" si="1"/>
        <v>4.0600000000000005</v>
      </c>
      <c r="M15" s="22">
        <f t="shared" si="2"/>
        <v>4.79</v>
      </c>
      <c r="N15" s="22">
        <f t="shared" si="3"/>
        <v>22.5</v>
      </c>
    </row>
    <row r="16" spans="1:74" x14ac:dyDescent="0.3">
      <c r="A16" s="20" t="s">
        <v>185</v>
      </c>
      <c r="B16" s="13">
        <v>162</v>
      </c>
      <c r="C16" s="13">
        <v>51.9</v>
      </c>
      <c r="D16" s="13">
        <v>28.1</v>
      </c>
      <c r="E16" s="13">
        <v>231</v>
      </c>
      <c r="F16" s="13">
        <v>60</v>
      </c>
      <c r="G16" s="13">
        <v>0.6</v>
      </c>
      <c r="J16" s="20" t="s">
        <v>185</v>
      </c>
      <c r="K16" s="5">
        <f t="shared" si="0"/>
        <v>16.2</v>
      </c>
      <c r="L16" s="22">
        <f t="shared" si="1"/>
        <v>5.1899999999999995</v>
      </c>
      <c r="M16" s="22">
        <f t="shared" si="2"/>
        <v>2.81</v>
      </c>
      <c r="N16" s="22">
        <f t="shared" si="3"/>
        <v>23.1</v>
      </c>
    </row>
    <row r="17" spans="1:21" x14ac:dyDescent="0.3">
      <c r="A17" s="14"/>
      <c r="B17" s="14"/>
      <c r="C17" s="14"/>
      <c r="D17" s="14"/>
      <c r="E17" s="14"/>
      <c r="F17" s="14"/>
      <c r="G17" s="14"/>
      <c r="J17" s="12"/>
      <c r="K17" s="12"/>
      <c r="L17" s="12"/>
      <c r="M17" s="12"/>
      <c r="N17" s="12"/>
      <c r="Q17" s="12"/>
      <c r="R17" s="12"/>
      <c r="S17" s="12"/>
      <c r="T17" s="12"/>
      <c r="U17" s="12"/>
    </row>
    <row r="18" spans="1:21" x14ac:dyDescent="0.3">
      <c r="A18" s="14"/>
      <c r="B18" s="14"/>
      <c r="C18" s="14"/>
      <c r="D18" s="14"/>
      <c r="E18" s="14"/>
      <c r="F18" s="14"/>
      <c r="G18" s="14"/>
      <c r="J18" s="12"/>
      <c r="K18" s="12"/>
      <c r="L18" s="12"/>
      <c r="M18" s="12"/>
      <c r="N18" s="12"/>
      <c r="Q18" s="12"/>
      <c r="R18" s="12"/>
      <c r="S18" s="12"/>
      <c r="T18" s="12"/>
      <c r="U18" s="12"/>
    </row>
    <row r="19" spans="1:21" x14ac:dyDescent="0.3">
      <c r="A19" s="4" t="s">
        <v>158</v>
      </c>
      <c r="B19" s="13">
        <v>289</v>
      </c>
      <c r="C19" s="13">
        <v>2</v>
      </c>
      <c r="D19" s="13">
        <v>9.4</v>
      </c>
      <c r="E19" s="13">
        <v>10.82</v>
      </c>
      <c r="F19" s="13">
        <v>60</v>
      </c>
      <c r="G19" s="13">
        <v>0.6</v>
      </c>
      <c r="J19" s="4" t="s">
        <v>158</v>
      </c>
      <c r="K19" s="5">
        <f>B19/10</f>
        <v>28.9</v>
      </c>
      <c r="L19" s="5">
        <f>C19/10</f>
        <v>0.2</v>
      </c>
      <c r="M19" s="22">
        <f>D19/10</f>
        <v>0.94000000000000006</v>
      </c>
      <c r="N19" s="5">
        <f>E19/10</f>
        <v>1.0820000000000001</v>
      </c>
      <c r="Q19" s="157" t="s">
        <v>207</v>
      </c>
      <c r="R19" s="157"/>
      <c r="S19" s="157"/>
      <c r="T19" s="157"/>
      <c r="U19" s="157"/>
    </row>
    <row r="20" spans="1:21" x14ac:dyDescent="0.3">
      <c r="A20" s="4" t="s">
        <v>159</v>
      </c>
      <c r="B20" s="13">
        <v>302</v>
      </c>
      <c r="C20" s="13">
        <v>1.8</v>
      </c>
      <c r="D20" s="13">
        <v>9.4</v>
      </c>
      <c r="E20" s="13">
        <v>11.67</v>
      </c>
      <c r="F20" s="13">
        <v>60</v>
      </c>
      <c r="G20" s="13">
        <v>0.6</v>
      </c>
      <c r="J20" s="4" t="s">
        <v>159</v>
      </c>
      <c r="K20" s="5">
        <f t="shared" ref="K20:K32" si="13">B20/10</f>
        <v>30.2</v>
      </c>
      <c r="L20" s="5">
        <f t="shared" ref="L20:L32" si="14">C20/10</f>
        <v>0.18</v>
      </c>
      <c r="M20" s="22">
        <f t="shared" ref="M20:M32" si="15">D20/10</f>
        <v>0.94000000000000006</v>
      </c>
      <c r="N20" s="5">
        <f t="shared" ref="N20:N32" si="16">E20/10</f>
        <v>1.167</v>
      </c>
      <c r="Q20" s="2" t="s">
        <v>18</v>
      </c>
      <c r="R20" s="21" t="s">
        <v>19</v>
      </c>
      <c r="S20" s="21" t="s">
        <v>20</v>
      </c>
      <c r="T20" s="21" t="s">
        <v>21</v>
      </c>
      <c r="U20" s="21" t="s">
        <v>22</v>
      </c>
    </row>
    <row r="21" spans="1:21" x14ac:dyDescent="0.3">
      <c r="A21" s="4" t="s">
        <v>160</v>
      </c>
      <c r="B21" s="13">
        <v>316</v>
      </c>
      <c r="C21" s="13">
        <v>2.8</v>
      </c>
      <c r="D21" s="13">
        <v>9.4</v>
      </c>
      <c r="E21" s="13">
        <v>10.45</v>
      </c>
      <c r="F21" s="13">
        <v>60</v>
      </c>
      <c r="G21" s="13">
        <v>0.6</v>
      </c>
      <c r="J21" s="4" t="s">
        <v>160</v>
      </c>
      <c r="K21" s="5">
        <f t="shared" si="13"/>
        <v>31.6</v>
      </c>
      <c r="L21" s="5">
        <f t="shared" si="14"/>
        <v>0.27999999999999997</v>
      </c>
      <c r="M21" s="22">
        <f t="shared" si="15"/>
        <v>0.94000000000000006</v>
      </c>
      <c r="N21" s="5">
        <f t="shared" si="16"/>
        <v>1.0449999999999999</v>
      </c>
      <c r="Q21" s="2" t="s">
        <v>193</v>
      </c>
      <c r="R21" s="22">
        <f>AVERAGE(K19:K21)</f>
        <v>30.233333333333331</v>
      </c>
      <c r="S21" s="22">
        <f>AVERAGE(L19:L21)</f>
        <v>0.21999999999999997</v>
      </c>
      <c r="T21" s="22">
        <f>AVERAGE(M19:M21)</f>
        <v>0.94000000000000006</v>
      </c>
      <c r="U21" s="22">
        <f>AVERAGE(N19:N21)</f>
        <v>1.0980000000000001</v>
      </c>
    </row>
    <row r="22" spans="1:21" x14ac:dyDescent="0.3">
      <c r="A22" s="4" t="s">
        <v>161</v>
      </c>
      <c r="B22" s="13">
        <v>377</v>
      </c>
      <c r="C22" s="13">
        <v>4.7</v>
      </c>
      <c r="D22" s="13">
        <v>14.1</v>
      </c>
      <c r="E22" s="13">
        <v>14.5</v>
      </c>
      <c r="F22" s="13">
        <v>60</v>
      </c>
      <c r="G22" s="13">
        <v>0.6</v>
      </c>
      <c r="J22" s="4" t="s">
        <v>161</v>
      </c>
      <c r="K22" s="5">
        <f t="shared" si="13"/>
        <v>37.700000000000003</v>
      </c>
      <c r="L22" s="5">
        <f t="shared" si="14"/>
        <v>0.47000000000000003</v>
      </c>
      <c r="M22" s="22">
        <f t="shared" si="15"/>
        <v>1.41</v>
      </c>
      <c r="N22" s="5">
        <f t="shared" si="16"/>
        <v>1.45</v>
      </c>
      <c r="Q22" s="20" t="s">
        <v>194</v>
      </c>
      <c r="R22" s="22">
        <f>AVERAGE(K22:K24)</f>
        <v>36.533333333333331</v>
      </c>
      <c r="S22" s="22">
        <f>AVERAGE(L22:L24)</f>
        <v>0.46666666666666662</v>
      </c>
      <c r="T22" s="22">
        <f>AVERAGE(M22:M24)</f>
        <v>1.41</v>
      </c>
      <c r="U22" s="22">
        <f>AVERAGE(N22:N24)</f>
        <v>1.4166666666666667</v>
      </c>
    </row>
    <row r="23" spans="1:21" x14ac:dyDescent="0.3">
      <c r="A23" s="4" t="s">
        <v>162</v>
      </c>
      <c r="B23" s="13">
        <v>394</v>
      </c>
      <c r="C23" s="13">
        <v>5.0999999999999996</v>
      </c>
      <c r="D23" s="13">
        <v>14.1</v>
      </c>
      <c r="E23" s="13">
        <v>13.8</v>
      </c>
      <c r="F23" s="13">
        <v>60</v>
      </c>
      <c r="G23" s="13">
        <v>0.6</v>
      </c>
      <c r="J23" s="4" t="s">
        <v>162</v>
      </c>
      <c r="K23" s="5">
        <f t="shared" si="13"/>
        <v>39.4</v>
      </c>
      <c r="L23" s="5">
        <f t="shared" si="14"/>
        <v>0.51</v>
      </c>
      <c r="M23" s="22">
        <f t="shared" si="15"/>
        <v>1.41</v>
      </c>
      <c r="N23" s="5">
        <f t="shared" si="16"/>
        <v>1.3800000000000001</v>
      </c>
      <c r="Q23" s="23" t="s">
        <v>195</v>
      </c>
      <c r="R23" s="22">
        <f>AVERAGE(K25:K27)</f>
        <v>36.199999999999996</v>
      </c>
      <c r="S23" s="22">
        <f>AVERAGE(L25:L27)</f>
        <v>2.08</v>
      </c>
      <c r="T23" s="22">
        <f>AVERAGE(M25:M27)</f>
        <v>1.5666666666666667</v>
      </c>
      <c r="U23" s="22">
        <f>AVERAGE(N25:N27)</f>
        <v>2.1033333333333331</v>
      </c>
    </row>
    <row r="24" spans="1:21" x14ac:dyDescent="0.3">
      <c r="A24" s="4" t="s">
        <v>163</v>
      </c>
      <c r="B24" s="13">
        <v>325</v>
      </c>
      <c r="C24" s="13">
        <v>4.2</v>
      </c>
      <c r="D24" s="13">
        <v>14.1</v>
      </c>
      <c r="E24" s="13">
        <v>14.2</v>
      </c>
      <c r="F24" s="13">
        <v>60</v>
      </c>
      <c r="G24" s="13">
        <v>0.6</v>
      </c>
      <c r="J24" s="4" t="s">
        <v>163</v>
      </c>
      <c r="K24" s="5">
        <f t="shared" si="13"/>
        <v>32.5</v>
      </c>
      <c r="L24" s="5">
        <f t="shared" si="14"/>
        <v>0.42000000000000004</v>
      </c>
      <c r="M24" s="22">
        <f t="shared" si="15"/>
        <v>1.41</v>
      </c>
      <c r="N24" s="5">
        <f t="shared" si="16"/>
        <v>1.42</v>
      </c>
      <c r="Q24" s="20" t="s">
        <v>196</v>
      </c>
      <c r="R24" s="22">
        <f>AVERAGE(K28:K30)</f>
        <v>32.733333333333327</v>
      </c>
      <c r="S24" s="22">
        <f>AVERAGE(L28:L30)</f>
        <v>9.7933333333333348</v>
      </c>
      <c r="T24" s="22">
        <f>AVERAGE(M28:M30)</f>
        <v>1.8800000000000001</v>
      </c>
      <c r="U24" s="22">
        <f>AVERAGE(N28:N30)</f>
        <v>9.8133333333333344</v>
      </c>
    </row>
    <row r="25" spans="1:21" x14ac:dyDescent="0.3">
      <c r="A25" s="4" t="s">
        <v>164</v>
      </c>
      <c r="B25" s="13">
        <v>378</v>
      </c>
      <c r="C25" s="13">
        <v>18.2</v>
      </c>
      <c r="D25" s="13">
        <v>14.1</v>
      </c>
      <c r="E25" s="13">
        <v>20.5</v>
      </c>
      <c r="F25" s="13">
        <v>60</v>
      </c>
      <c r="G25" s="13">
        <v>0.6</v>
      </c>
      <c r="J25" s="4" t="s">
        <v>164</v>
      </c>
      <c r="K25" s="5">
        <f t="shared" si="13"/>
        <v>37.799999999999997</v>
      </c>
      <c r="L25" s="5">
        <f t="shared" si="14"/>
        <v>1.8199999999999998</v>
      </c>
      <c r="M25" s="22">
        <f t="shared" si="15"/>
        <v>1.41</v>
      </c>
      <c r="N25" s="5">
        <f t="shared" si="16"/>
        <v>2.0499999999999998</v>
      </c>
      <c r="Q25" s="20" t="s">
        <v>197</v>
      </c>
      <c r="R25" s="24">
        <f t="shared" ref="R25:U26" si="17">AVERAGE(K31)</f>
        <v>32</v>
      </c>
      <c r="S25" s="24">
        <f t="shared" si="17"/>
        <v>19</v>
      </c>
      <c r="T25" s="24">
        <f t="shared" si="17"/>
        <v>1.8800000000000001</v>
      </c>
      <c r="U25" s="24">
        <f t="shared" si="17"/>
        <v>15.1</v>
      </c>
    </row>
    <row r="26" spans="1:21" x14ac:dyDescent="0.3">
      <c r="A26" s="4" t="s">
        <v>165</v>
      </c>
      <c r="B26" s="13">
        <v>372</v>
      </c>
      <c r="C26" s="13">
        <v>21.4</v>
      </c>
      <c r="D26" s="13">
        <v>14.1</v>
      </c>
      <c r="E26" s="13">
        <v>21.7</v>
      </c>
      <c r="F26" s="13">
        <v>60</v>
      </c>
      <c r="G26" s="13">
        <v>0.6</v>
      </c>
      <c r="J26" s="4" t="s">
        <v>165</v>
      </c>
      <c r="K26" s="5">
        <f t="shared" si="13"/>
        <v>37.200000000000003</v>
      </c>
      <c r="L26" s="5">
        <f t="shared" si="14"/>
        <v>2.1399999999999997</v>
      </c>
      <c r="M26" s="22">
        <f t="shared" si="15"/>
        <v>1.41</v>
      </c>
      <c r="N26" s="5">
        <f t="shared" si="16"/>
        <v>2.17</v>
      </c>
      <c r="Q26" s="20" t="s">
        <v>198</v>
      </c>
      <c r="R26" s="24">
        <v>30.4</v>
      </c>
      <c r="S26" s="24">
        <f t="shared" si="17"/>
        <v>34.799999999999997</v>
      </c>
      <c r="T26" s="24">
        <f t="shared" si="17"/>
        <v>2.34</v>
      </c>
      <c r="U26" s="24">
        <f t="shared" si="17"/>
        <v>24.5</v>
      </c>
    </row>
    <row r="27" spans="1:21" x14ac:dyDescent="0.3">
      <c r="A27" s="4" t="s">
        <v>166</v>
      </c>
      <c r="B27" s="13">
        <v>336</v>
      </c>
      <c r="C27" s="13">
        <v>22.8</v>
      </c>
      <c r="D27" s="13">
        <v>18.8</v>
      </c>
      <c r="E27" s="13">
        <v>20.9</v>
      </c>
      <c r="F27" s="13">
        <v>60</v>
      </c>
      <c r="G27" s="13">
        <v>0.6</v>
      </c>
      <c r="J27" s="4" t="s">
        <v>166</v>
      </c>
      <c r="K27" s="5">
        <f t="shared" si="13"/>
        <v>33.6</v>
      </c>
      <c r="L27" s="5">
        <f t="shared" si="14"/>
        <v>2.2800000000000002</v>
      </c>
      <c r="M27" s="22">
        <f t="shared" si="15"/>
        <v>1.8800000000000001</v>
      </c>
      <c r="N27" s="5">
        <f t="shared" si="16"/>
        <v>2.09</v>
      </c>
    </row>
    <row r="28" spans="1:21" x14ac:dyDescent="0.3">
      <c r="A28" s="4" t="s">
        <v>167</v>
      </c>
      <c r="B28" s="13">
        <v>338</v>
      </c>
      <c r="C28" s="13">
        <v>89.8</v>
      </c>
      <c r="D28" s="13">
        <v>18.8</v>
      </c>
      <c r="E28" s="13">
        <v>95.1</v>
      </c>
      <c r="F28" s="13">
        <v>60</v>
      </c>
      <c r="G28" s="13">
        <v>0.6</v>
      </c>
      <c r="J28" s="4" t="s">
        <v>167</v>
      </c>
      <c r="K28" s="5">
        <f t="shared" si="13"/>
        <v>33.799999999999997</v>
      </c>
      <c r="L28" s="5">
        <f t="shared" si="14"/>
        <v>8.98</v>
      </c>
      <c r="M28" s="22">
        <f t="shared" si="15"/>
        <v>1.8800000000000001</v>
      </c>
      <c r="N28" s="5">
        <f t="shared" si="16"/>
        <v>9.51</v>
      </c>
    </row>
    <row r="29" spans="1:21" x14ac:dyDescent="0.3">
      <c r="A29" s="4" t="s">
        <v>168</v>
      </c>
      <c r="B29" s="13">
        <v>299</v>
      </c>
      <c r="C29" s="13">
        <v>75</v>
      </c>
      <c r="D29" s="13">
        <v>18.8</v>
      </c>
      <c r="E29" s="13">
        <v>80.599999999999994</v>
      </c>
      <c r="F29" s="13">
        <v>60</v>
      </c>
      <c r="G29" s="13">
        <v>0.6</v>
      </c>
      <c r="J29" s="4" t="s">
        <v>168</v>
      </c>
      <c r="K29" s="5">
        <f t="shared" si="13"/>
        <v>29.9</v>
      </c>
      <c r="L29" s="5">
        <f t="shared" si="14"/>
        <v>7.5</v>
      </c>
      <c r="M29" s="22">
        <f t="shared" si="15"/>
        <v>1.8800000000000001</v>
      </c>
      <c r="N29" s="5">
        <f t="shared" si="16"/>
        <v>8.0599999999999987</v>
      </c>
    </row>
    <row r="30" spans="1:21" x14ac:dyDescent="0.3">
      <c r="A30" s="4" t="s">
        <v>169</v>
      </c>
      <c r="B30" s="13">
        <v>345</v>
      </c>
      <c r="C30" s="13">
        <v>129</v>
      </c>
      <c r="D30" s="13">
        <v>18.8</v>
      </c>
      <c r="E30" s="13">
        <v>118.7</v>
      </c>
      <c r="F30" s="13">
        <v>60</v>
      </c>
      <c r="G30" s="13">
        <v>0.6</v>
      </c>
      <c r="J30" s="4" t="s">
        <v>169</v>
      </c>
      <c r="K30" s="5">
        <f t="shared" si="13"/>
        <v>34.5</v>
      </c>
      <c r="L30" s="5">
        <f t="shared" si="14"/>
        <v>12.9</v>
      </c>
      <c r="M30" s="22">
        <f t="shared" si="15"/>
        <v>1.8800000000000001</v>
      </c>
      <c r="N30" s="5">
        <f t="shared" si="16"/>
        <v>11.870000000000001</v>
      </c>
    </row>
    <row r="31" spans="1:21" x14ac:dyDescent="0.3">
      <c r="A31" s="4" t="s">
        <v>170</v>
      </c>
      <c r="B31" s="13">
        <v>320</v>
      </c>
      <c r="C31" s="13">
        <v>190</v>
      </c>
      <c r="D31" s="13">
        <v>18.8</v>
      </c>
      <c r="E31" s="13">
        <v>151</v>
      </c>
      <c r="F31" s="13">
        <v>60</v>
      </c>
      <c r="G31" s="13">
        <v>0.6</v>
      </c>
      <c r="J31" s="4" t="s">
        <v>170</v>
      </c>
      <c r="K31" s="5">
        <f t="shared" si="13"/>
        <v>32</v>
      </c>
      <c r="L31" s="5">
        <f t="shared" si="14"/>
        <v>19</v>
      </c>
      <c r="M31" s="22">
        <f t="shared" si="15"/>
        <v>1.8800000000000001</v>
      </c>
      <c r="N31" s="5">
        <f t="shared" si="16"/>
        <v>15.1</v>
      </c>
    </row>
    <row r="32" spans="1:21" x14ac:dyDescent="0.3">
      <c r="A32" s="3" t="s">
        <v>171</v>
      </c>
      <c r="B32" s="13">
        <v>362</v>
      </c>
      <c r="C32" s="13">
        <v>348</v>
      </c>
      <c r="D32" s="13">
        <v>23.4</v>
      </c>
      <c r="E32" s="13">
        <v>245</v>
      </c>
      <c r="F32" s="13">
        <v>60</v>
      </c>
      <c r="G32" s="13">
        <v>0.6</v>
      </c>
      <c r="J32" s="3" t="s">
        <v>171</v>
      </c>
      <c r="K32" s="5">
        <f t="shared" si="13"/>
        <v>36.200000000000003</v>
      </c>
      <c r="L32" s="5">
        <f t="shared" si="14"/>
        <v>34.799999999999997</v>
      </c>
      <c r="M32" s="22">
        <f t="shared" si="15"/>
        <v>2.34</v>
      </c>
      <c r="N32" s="5">
        <f t="shared" si="16"/>
        <v>24.5</v>
      </c>
    </row>
    <row r="33" spans="1:21" x14ac:dyDescent="0.3">
      <c r="A33" s="14"/>
      <c r="B33" s="14"/>
      <c r="C33" s="14"/>
      <c r="D33" s="14"/>
      <c r="E33" s="14"/>
      <c r="F33" s="14"/>
      <c r="G33" s="14"/>
      <c r="H33" s="12"/>
      <c r="J33" s="12"/>
      <c r="K33" s="12"/>
      <c r="L33" s="12"/>
      <c r="M33" s="12"/>
      <c r="N33" s="12"/>
      <c r="Q33" s="12"/>
      <c r="R33" s="12"/>
      <c r="S33" s="12"/>
      <c r="T33" s="12"/>
      <c r="U33" s="12"/>
    </row>
    <row r="34" spans="1:21" x14ac:dyDescent="0.3">
      <c r="A34" s="14"/>
      <c r="B34" s="14"/>
      <c r="C34" s="14"/>
      <c r="D34" s="14"/>
      <c r="E34" s="14"/>
      <c r="F34" s="14"/>
      <c r="G34" s="14"/>
      <c r="H34" s="12"/>
      <c r="J34" s="12"/>
      <c r="K34" s="12"/>
      <c r="L34" s="12"/>
      <c r="M34" s="12"/>
      <c r="N34" s="12"/>
      <c r="Q34" s="12"/>
      <c r="R34" s="12"/>
      <c r="S34" s="12"/>
      <c r="T34" s="12"/>
      <c r="U34" s="12"/>
    </row>
    <row r="35" spans="1:21" x14ac:dyDescent="0.3">
      <c r="A35" s="4" t="s">
        <v>144</v>
      </c>
      <c r="B35" s="13">
        <v>146</v>
      </c>
      <c r="C35" s="13">
        <v>54.8</v>
      </c>
      <c r="D35" s="13">
        <v>5.3</v>
      </c>
      <c r="E35" s="13">
        <v>2.35</v>
      </c>
      <c r="F35" s="13">
        <v>60</v>
      </c>
      <c r="G35" s="13">
        <v>0.6</v>
      </c>
      <c r="J35" s="4" t="s">
        <v>144</v>
      </c>
      <c r="K35" s="5">
        <f>B35/10</f>
        <v>14.6</v>
      </c>
      <c r="L35" s="5">
        <f>C35/10</f>
        <v>5.4799999999999995</v>
      </c>
      <c r="M35" s="5">
        <f>D35/10</f>
        <v>0.53</v>
      </c>
      <c r="N35" s="5">
        <f>E35/10</f>
        <v>0.23500000000000001</v>
      </c>
      <c r="Q35" s="157" t="s">
        <v>208</v>
      </c>
      <c r="R35" s="157"/>
      <c r="S35" s="157"/>
      <c r="T35" s="157"/>
      <c r="U35" s="157"/>
    </row>
    <row r="36" spans="1:21" x14ac:dyDescent="0.3">
      <c r="A36" s="4" t="s">
        <v>145</v>
      </c>
      <c r="B36" s="13">
        <v>135</v>
      </c>
      <c r="C36" s="13">
        <v>63.5</v>
      </c>
      <c r="D36" s="13">
        <v>9.4</v>
      </c>
      <c r="E36" s="13">
        <v>2.86</v>
      </c>
      <c r="F36" s="13">
        <v>60</v>
      </c>
      <c r="G36" s="13">
        <v>0.6</v>
      </c>
      <c r="J36" s="4" t="s">
        <v>145</v>
      </c>
      <c r="K36" s="5">
        <f t="shared" ref="K36:K48" si="18">B36/10</f>
        <v>13.5</v>
      </c>
      <c r="L36" s="5">
        <f t="shared" ref="L36:L48" si="19">C36/10</f>
        <v>6.35</v>
      </c>
      <c r="M36" s="5">
        <f t="shared" ref="M36:M48" si="20">D36/10</f>
        <v>0.94000000000000006</v>
      </c>
      <c r="N36" s="5">
        <f t="shared" ref="N36:N48" si="21">E36/10</f>
        <v>0.28599999999999998</v>
      </c>
      <c r="Q36" s="2" t="s">
        <v>18</v>
      </c>
      <c r="R36" s="21" t="s">
        <v>19</v>
      </c>
      <c r="S36" s="21" t="s">
        <v>20</v>
      </c>
      <c r="T36" s="21" t="s">
        <v>21</v>
      </c>
      <c r="U36" s="21" t="s">
        <v>22</v>
      </c>
    </row>
    <row r="37" spans="1:21" x14ac:dyDescent="0.3">
      <c r="A37" s="4" t="s">
        <v>146</v>
      </c>
      <c r="B37" s="13">
        <v>140</v>
      </c>
      <c r="C37" s="13">
        <v>84.1</v>
      </c>
      <c r="D37" s="13">
        <v>9.4</v>
      </c>
      <c r="E37" s="13">
        <v>2.1800000000000002</v>
      </c>
      <c r="F37" s="13">
        <v>60</v>
      </c>
      <c r="G37" s="13">
        <v>0.6</v>
      </c>
      <c r="J37" s="4" t="s">
        <v>146</v>
      </c>
      <c r="K37" s="5">
        <f t="shared" si="18"/>
        <v>14</v>
      </c>
      <c r="L37" s="5">
        <f t="shared" si="19"/>
        <v>8.41</v>
      </c>
      <c r="M37" s="5">
        <f t="shared" si="20"/>
        <v>0.94000000000000006</v>
      </c>
      <c r="N37" s="5">
        <f t="shared" si="21"/>
        <v>0.21800000000000003</v>
      </c>
      <c r="Q37" s="2" t="s">
        <v>187</v>
      </c>
      <c r="R37" s="22">
        <f>AVERAGE(K35:K37)</f>
        <v>14.033333333333333</v>
      </c>
      <c r="S37" s="22">
        <f>AVERAGE(L35:L37)</f>
        <v>6.7466666666666661</v>
      </c>
      <c r="T37" s="22">
        <f>AVERAGE(M35:M37)</f>
        <v>0.80333333333333334</v>
      </c>
      <c r="U37" s="22">
        <f>AVERAGE(N35:N37)</f>
        <v>0.24633333333333338</v>
      </c>
    </row>
    <row r="38" spans="1:21" x14ac:dyDescent="0.3">
      <c r="A38" s="4" t="s">
        <v>147</v>
      </c>
      <c r="B38" s="13">
        <v>146</v>
      </c>
      <c r="C38" s="13">
        <v>100</v>
      </c>
      <c r="D38" s="13">
        <v>9.4</v>
      </c>
      <c r="E38" s="13">
        <v>2.96</v>
      </c>
      <c r="F38" s="13">
        <v>60</v>
      </c>
      <c r="G38" s="13">
        <v>0.6</v>
      </c>
      <c r="J38" s="4" t="s">
        <v>147</v>
      </c>
      <c r="K38" s="5">
        <f t="shared" si="18"/>
        <v>14.6</v>
      </c>
      <c r="L38" s="5">
        <f t="shared" si="19"/>
        <v>10</v>
      </c>
      <c r="M38" s="5">
        <f t="shared" si="20"/>
        <v>0.94000000000000006</v>
      </c>
      <c r="N38" s="5">
        <f t="shared" si="21"/>
        <v>0.29599999999999999</v>
      </c>
      <c r="Q38" s="20" t="s">
        <v>188</v>
      </c>
      <c r="R38" s="22">
        <f>AVERAGE(K38:K40)</f>
        <v>15</v>
      </c>
      <c r="S38" s="22">
        <f>AVERAGE(L38:L40)</f>
        <v>9.2433333333333341</v>
      </c>
      <c r="T38" s="22">
        <f>AVERAGE(M38:M40)</f>
        <v>0.94000000000000006</v>
      </c>
      <c r="U38" s="22">
        <f>AVERAGE(N38:N40)</f>
        <v>0.29733333333333334</v>
      </c>
    </row>
    <row r="39" spans="1:21" x14ac:dyDescent="0.3">
      <c r="A39" s="4" t="s">
        <v>148</v>
      </c>
      <c r="B39" s="13">
        <v>169</v>
      </c>
      <c r="C39" s="13">
        <v>86.4</v>
      </c>
      <c r="D39" s="13">
        <v>9.4</v>
      </c>
      <c r="E39" s="13">
        <v>3.07</v>
      </c>
      <c r="F39" s="13">
        <v>60</v>
      </c>
      <c r="G39" s="13">
        <v>0.6</v>
      </c>
      <c r="J39" s="4" t="s">
        <v>148</v>
      </c>
      <c r="K39" s="5">
        <f t="shared" si="18"/>
        <v>16.899999999999999</v>
      </c>
      <c r="L39" s="5">
        <f t="shared" si="19"/>
        <v>8.64</v>
      </c>
      <c r="M39" s="5">
        <f t="shared" si="20"/>
        <v>0.94000000000000006</v>
      </c>
      <c r="N39" s="5">
        <f t="shared" si="21"/>
        <v>0.307</v>
      </c>
      <c r="Q39" s="23" t="s">
        <v>189</v>
      </c>
      <c r="R39" s="22">
        <f>AVERAGE(K41:K43)</f>
        <v>8.5366666666666671</v>
      </c>
      <c r="S39" s="22">
        <f>AVERAGE(L41:L43)</f>
        <v>20.966666666666669</v>
      </c>
      <c r="T39" s="22">
        <f>AVERAGE(M41:M43)</f>
        <v>1.0966666666666667</v>
      </c>
      <c r="U39" s="22">
        <f>AVERAGE(N41:N43)</f>
        <v>0.64433333333333331</v>
      </c>
    </row>
    <row r="40" spans="1:21" x14ac:dyDescent="0.3">
      <c r="A40" s="4" t="s">
        <v>149</v>
      </c>
      <c r="B40" s="13">
        <v>135</v>
      </c>
      <c r="C40" s="13">
        <v>90.9</v>
      </c>
      <c r="D40" s="13">
        <v>9.4</v>
      </c>
      <c r="E40" s="13">
        <v>2.89</v>
      </c>
      <c r="F40" s="13">
        <v>60</v>
      </c>
      <c r="G40" s="13">
        <v>0.6</v>
      </c>
      <c r="J40" s="4" t="s">
        <v>149</v>
      </c>
      <c r="K40" s="5">
        <f t="shared" si="18"/>
        <v>13.5</v>
      </c>
      <c r="L40" s="5">
        <f t="shared" si="19"/>
        <v>9.09</v>
      </c>
      <c r="M40" s="5">
        <f t="shared" si="20"/>
        <v>0.94000000000000006</v>
      </c>
      <c r="N40" s="5">
        <f t="shared" si="21"/>
        <v>0.28900000000000003</v>
      </c>
      <c r="Q40" s="20" t="s">
        <v>190</v>
      </c>
      <c r="R40" s="22">
        <f>AVERAGE(K44:K46)</f>
        <v>5.4333333333333327</v>
      </c>
      <c r="S40" s="22">
        <f>AVERAGE(L44:L46)</f>
        <v>28.166666666666668</v>
      </c>
      <c r="T40" s="22">
        <f>AVERAGE(M44:M46)</f>
        <v>1.41</v>
      </c>
      <c r="U40" s="22">
        <f>AVERAGE(N44:N46)</f>
        <v>1.1219999999999999</v>
      </c>
    </row>
    <row r="41" spans="1:21" x14ac:dyDescent="0.3">
      <c r="A41" s="4" t="s">
        <v>150</v>
      </c>
      <c r="B41" s="13">
        <v>79.900000000000006</v>
      </c>
      <c r="C41" s="13">
        <v>198</v>
      </c>
      <c r="D41" s="13">
        <v>9.4</v>
      </c>
      <c r="E41" s="13">
        <v>5.91</v>
      </c>
      <c r="F41" s="13">
        <v>60</v>
      </c>
      <c r="G41" s="13">
        <v>0.6</v>
      </c>
      <c r="J41" s="4" t="s">
        <v>150</v>
      </c>
      <c r="K41" s="5">
        <f t="shared" si="18"/>
        <v>7.99</v>
      </c>
      <c r="L41" s="5">
        <f t="shared" si="19"/>
        <v>19.8</v>
      </c>
      <c r="M41" s="5">
        <f t="shared" si="20"/>
        <v>0.94000000000000006</v>
      </c>
      <c r="N41" s="5">
        <f t="shared" si="21"/>
        <v>0.59099999999999997</v>
      </c>
      <c r="Q41" s="20" t="s">
        <v>191</v>
      </c>
      <c r="R41" s="24">
        <v>5.03</v>
      </c>
      <c r="S41" s="24">
        <f t="shared" ref="R41:U42" si="22">AVERAGE(L47)</f>
        <v>33.799999999999997</v>
      </c>
      <c r="T41" s="24">
        <f t="shared" si="22"/>
        <v>1.8800000000000001</v>
      </c>
      <c r="U41" s="24">
        <f t="shared" si="22"/>
        <v>1.97</v>
      </c>
    </row>
    <row r="42" spans="1:21" x14ac:dyDescent="0.3">
      <c r="A42" s="4" t="s">
        <v>151</v>
      </c>
      <c r="B42" s="13">
        <v>95.7</v>
      </c>
      <c r="C42" s="13">
        <v>206</v>
      </c>
      <c r="D42" s="13">
        <v>9.4</v>
      </c>
      <c r="E42" s="13">
        <v>6.65</v>
      </c>
      <c r="F42" s="13">
        <v>60</v>
      </c>
      <c r="G42" s="13">
        <v>0.6</v>
      </c>
      <c r="J42" s="4" t="s">
        <v>151</v>
      </c>
      <c r="K42" s="5">
        <f t="shared" si="18"/>
        <v>9.57</v>
      </c>
      <c r="L42" s="5">
        <f t="shared" si="19"/>
        <v>20.6</v>
      </c>
      <c r="M42" s="5">
        <f t="shared" si="20"/>
        <v>0.94000000000000006</v>
      </c>
      <c r="N42" s="5">
        <f t="shared" si="21"/>
        <v>0.66500000000000004</v>
      </c>
      <c r="Q42" s="20" t="s">
        <v>192</v>
      </c>
      <c r="R42" s="24">
        <f t="shared" si="22"/>
        <v>4.24</v>
      </c>
      <c r="S42" s="24">
        <f t="shared" si="22"/>
        <v>44.6</v>
      </c>
      <c r="T42" s="24">
        <f t="shared" si="22"/>
        <v>2.34</v>
      </c>
      <c r="U42" s="24">
        <f t="shared" si="22"/>
        <v>2.96</v>
      </c>
    </row>
    <row r="43" spans="1:21" x14ac:dyDescent="0.3">
      <c r="A43" s="4" t="s">
        <v>152</v>
      </c>
      <c r="B43" s="13">
        <v>80.5</v>
      </c>
      <c r="C43" s="13">
        <v>225</v>
      </c>
      <c r="D43" s="13">
        <v>14.1</v>
      </c>
      <c r="E43" s="13">
        <v>6.77</v>
      </c>
      <c r="F43" s="13">
        <v>60</v>
      </c>
      <c r="G43" s="13">
        <v>0.6</v>
      </c>
      <c r="J43" s="4" t="s">
        <v>152</v>
      </c>
      <c r="K43" s="5">
        <f t="shared" si="18"/>
        <v>8.0500000000000007</v>
      </c>
      <c r="L43" s="5">
        <f t="shared" si="19"/>
        <v>22.5</v>
      </c>
      <c r="M43" s="5">
        <f t="shared" si="20"/>
        <v>1.41</v>
      </c>
      <c r="N43" s="5">
        <f t="shared" si="21"/>
        <v>0.67699999999999994</v>
      </c>
    </row>
    <row r="44" spans="1:21" x14ac:dyDescent="0.3">
      <c r="A44" s="4" t="s">
        <v>153</v>
      </c>
      <c r="B44" s="13">
        <v>56.1</v>
      </c>
      <c r="C44" s="13">
        <v>263</v>
      </c>
      <c r="D44" s="13">
        <v>14.1</v>
      </c>
      <c r="E44" s="13">
        <v>9.11</v>
      </c>
      <c r="F44" s="13">
        <v>60</v>
      </c>
      <c r="G44" s="13">
        <v>0.6</v>
      </c>
      <c r="J44" s="4" t="s">
        <v>153</v>
      </c>
      <c r="K44" s="5">
        <f t="shared" si="18"/>
        <v>5.61</v>
      </c>
      <c r="L44" s="5">
        <f t="shared" si="19"/>
        <v>26.3</v>
      </c>
      <c r="M44" s="5">
        <f t="shared" si="20"/>
        <v>1.41</v>
      </c>
      <c r="N44" s="5">
        <f t="shared" si="21"/>
        <v>0.91099999999999992</v>
      </c>
    </row>
    <row r="45" spans="1:21" x14ac:dyDescent="0.3">
      <c r="A45" s="4" t="s">
        <v>154</v>
      </c>
      <c r="B45" s="13">
        <v>55</v>
      </c>
      <c r="C45" s="13">
        <v>288</v>
      </c>
      <c r="D45" s="13">
        <v>14.1</v>
      </c>
      <c r="E45" s="13">
        <v>10.85</v>
      </c>
      <c r="F45" s="13">
        <v>60</v>
      </c>
      <c r="G45" s="13">
        <v>0.6</v>
      </c>
      <c r="J45" s="4" t="s">
        <v>154</v>
      </c>
      <c r="K45" s="5">
        <f t="shared" si="18"/>
        <v>5.5</v>
      </c>
      <c r="L45" s="5">
        <f t="shared" si="19"/>
        <v>28.8</v>
      </c>
      <c r="M45" s="5">
        <f t="shared" si="20"/>
        <v>1.41</v>
      </c>
      <c r="N45" s="5">
        <f t="shared" si="21"/>
        <v>1.085</v>
      </c>
    </row>
    <row r="46" spans="1:21" x14ac:dyDescent="0.3">
      <c r="A46" s="4" t="s">
        <v>155</v>
      </c>
      <c r="B46" s="13">
        <v>51.9</v>
      </c>
      <c r="C46" s="13">
        <v>294</v>
      </c>
      <c r="D46" s="13">
        <v>14.1</v>
      </c>
      <c r="E46" s="13">
        <v>13.7</v>
      </c>
      <c r="F46" s="13">
        <v>60</v>
      </c>
      <c r="G46" s="13">
        <v>0.6</v>
      </c>
      <c r="J46" s="4" t="s">
        <v>155</v>
      </c>
      <c r="K46" s="5">
        <f t="shared" si="18"/>
        <v>5.1899999999999995</v>
      </c>
      <c r="L46" s="5">
        <f t="shared" si="19"/>
        <v>29.4</v>
      </c>
      <c r="M46" s="5">
        <f t="shared" si="20"/>
        <v>1.41</v>
      </c>
      <c r="N46" s="5">
        <f t="shared" si="21"/>
        <v>1.3699999999999999</v>
      </c>
    </row>
    <row r="47" spans="1:21" x14ac:dyDescent="0.3">
      <c r="A47" s="4" t="s">
        <v>156</v>
      </c>
      <c r="B47" s="13">
        <v>61.3</v>
      </c>
      <c r="C47" s="13">
        <v>338</v>
      </c>
      <c r="D47" s="13">
        <v>18.8</v>
      </c>
      <c r="E47" s="13">
        <v>19.7</v>
      </c>
      <c r="F47" s="13">
        <v>40</v>
      </c>
      <c r="G47" s="13">
        <v>0.4</v>
      </c>
      <c r="J47" s="4" t="s">
        <v>156</v>
      </c>
      <c r="K47" s="5">
        <f t="shared" si="18"/>
        <v>6.13</v>
      </c>
      <c r="L47" s="5">
        <f t="shared" si="19"/>
        <v>33.799999999999997</v>
      </c>
      <c r="M47" s="5">
        <f t="shared" si="20"/>
        <v>1.8800000000000001</v>
      </c>
      <c r="N47" s="5">
        <f t="shared" si="21"/>
        <v>1.97</v>
      </c>
    </row>
    <row r="48" spans="1:21" x14ac:dyDescent="0.3">
      <c r="A48" s="3" t="s">
        <v>157</v>
      </c>
      <c r="B48" s="13">
        <v>42.4</v>
      </c>
      <c r="C48" s="13">
        <v>446</v>
      </c>
      <c r="D48" s="13">
        <v>23.4</v>
      </c>
      <c r="E48" s="13">
        <v>29.6</v>
      </c>
      <c r="F48" s="13">
        <v>40</v>
      </c>
      <c r="G48" s="13">
        <v>0.4</v>
      </c>
      <c r="J48" s="3" t="s">
        <v>157</v>
      </c>
      <c r="K48" s="5">
        <f t="shared" si="18"/>
        <v>4.24</v>
      </c>
      <c r="L48" s="5">
        <f t="shared" si="19"/>
        <v>44.6</v>
      </c>
      <c r="M48" s="5">
        <f t="shared" si="20"/>
        <v>2.34</v>
      </c>
      <c r="N48" s="5">
        <f t="shared" si="21"/>
        <v>2.96</v>
      </c>
    </row>
  </sheetData>
  <mergeCells count="19">
    <mergeCell ref="BS2:BT2"/>
    <mergeCell ref="BM2:BO2"/>
    <mergeCell ref="BP2:BR2"/>
    <mergeCell ref="AH2:AJ2"/>
    <mergeCell ref="AL2:AN2"/>
    <mergeCell ref="AQ2:AW2"/>
    <mergeCell ref="J1:N1"/>
    <mergeCell ref="Q1:U1"/>
    <mergeCell ref="BG2:BI2"/>
    <mergeCell ref="BJ2:BL2"/>
    <mergeCell ref="Q19:U19"/>
    <mergeCell ref="Q35:U35"/>
    <mergeCell ref="X1:AL1"/>
    <mergeCell ref="X2:X3"/>
    <mergeCell ref="Y2:AA2"/>
    <mergeCell ref="AB2:AD2"/>
    <mergeCell ref="AE2:AG2"/>
    <mergeCell ref="X12:Z12"/>
    <mergeCell ref="AA12:AC12"/>
  </mergeCells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6"/>
  <sheetViews>
    <sheetView topLeftCell="H1" workbookViewId="0">
      <selection activeCell="H11" sqref="H11"/>
    </sheetView>
  </sheetViews>
  <sheetFormatPr defaultRowHeight="14.4" x14ac:dyDescent="0.3"/>
  <cols>
    <col min="1" max="1" width="18.33203125" customWidth="1"/>
    <col min="2" max="2" width="9.5546875" bestFit="1" customWidth="1"/>
    <col min="3" max="3" width="12" bestFit="1" customWidth="1"/>
    <col min="5" max="5" width="11.109375" bestFit="1" customWidth="1"/>
    <col min="6" max="6" width="15.21875" bestFit="1" customWidth="1"/>
    <col min="8" max="8" width="17" customWidth="1"/>
    <col min="9" max="9" width="20.109375" customWidth="1"/>
    <col min="10" max="10" width="15.6640625" customWidth="1"/>
    <col min="14" max="14" width="17.33203125" customWidth="1"/>
    <col min="18" max="18" width="15.5546875" customWidth="1"/>
  </cols>
  <sheetData>
    <row r="1" spans="1:20" ht="15.6" x14ac:dyDescent="0.3">
      <c r="A1" s="4" t="s">
        <v>63</v>
      </c>
      <c r="B1" s="4" t="s">
        <v>212</v>
      </c>
      <c r="C1" s="4" t="s">
        <v>213</v>
      </c>
      <c r="E1" s="4" t="s">
        <v>214</v>
      </c>
      <c r="F1" s="4" t="s">
        <v>215</v>
      </c>
      <c r="H1" s="15" t="s">
        <v>18</v>
      </c>
      <c r="I1" s="10" t="s">
        <v>59</v>
      </c>
      <c r="J1" s="10" t="s">
        <v>60</v>
      </c>
      <c r="K1" s="10" t="s">
        <v>61</v>
      </c>
      <c r="L1" s="10" t="s">
        <v>24</v>
      </c>
      <c r="N1" s="171" t="s">
        <v>62</v>
      </c>
      <c r="O1" s="171"/>
      <c r="P1" s="171"/>
      <c r="Q1" s="171"/>
      <c r="R1" s="86" t="s">
        <v>44</v>
      </c>
      <c r="S1" s="56" t="s">
        <v>111</v>
      </c>
    </row>
    <row r="2" spans="1:20" ht="16.2" x14ac:dyDescent="0.35">
      <c r="A2" s="7" t="s">
        <v>0</v>
      </c>
      <c r="B2" s="6">
        <v>90.2</v>
      </c>
      <c r="C2" s="6">
        <v>482.4</v>
      </c>
      <c r="E2" s="6">
        <v>0.5</v>
      </c>
      <c r="F2" s="6">
        <v>50</v>
      </c>
      <c r="H2" s="18" t="s">
        <v>27</v>
      </c>
      <c r="I2">
        <f>AVERAGE(B2:B4)</f>
        <v>87.173333333333332</v>
      </c>
      <c r="J2">
        <f>AVERAGE(C2:C4)</f>
        <v>449.16666666666669</v>
      </c>
      <c r="K2" s="6">
        <v>50</v>
      </c>
      <c r="L2" s="6">
        <v>0.5</v>
      </c>
      <c r="N2" s="10" t="s">
        <v>63</v>
      </c>
      <c r="O2" s="29" t="s">
        <v>64</v>
      </c>
      <c r="P2" s="29"/>
      <c r="Q2" s="29"/>
      <c r="R2" s="53" t="s">
        <v>47</v>
      </c>
      <c r="S2" s="9">
        <v>19.407792207792205</v>
      </c>
      <c r="T2">
        <f>S7*100/S2</f>
        <v>458.83116970021428</v>
      </c>
    </row>
    <row r="3" spans="1:20" ht="16.2" x14ac:dyDescent="0.35">
      <c r="A3" s="7" t="s">
        <v>1</v>
      </c>
      <c r="B3" s="6">
        <v>70.52</v>
      </c>
      <c r="C3" s="6">
        <v>402.7</v>
      </c>
      <c r="E3" s="6">
        <v>0.5</v>
      </c>
      <c r="F3" s="6">
        <v>50</v>
      </c>
      <c r="H3" s="18" t="s">
        <v>28</v>
      </c>
      <c r="I3">
        <f>AVERAGE(B5:B7)</f>
        <v>151.5</v>
      </c>
      <c r="J3">
        <f>AVERAGE(C5:C7)</f>
        <v>489.73333333333335</v>
      </c>
      <c r="K3" s="6">
        <v>50</v>
      </c>
      <c r="L3" s="6">
        <v>0.5</v>
      </c>
      <c r="N3" s="18" t="s">
        <v>27</v>
      </c>
      <c r="O3">
        <f>(I2/J2)*100</f>
        <v>19.407792207792205</v>
      </c>
      <c r="R3" s="53" t="s">
        <v>48</v>
      </c>
      <c r="S3" s="9">
        <v>30.935202831472907</v>
      </c>
      <c r="T3">
        <f>S7/S2</f>
        <v>4.5883116970021423</v>
      </c>
    </row>
    <row r="4" spans="1:20" ht="16.2" x14ac:dyDescent="0.35">
      <c r="A4" s="7" t="s">
        <v>2</v>
      </c>
      <c r="B4" s="6">
        <v>100.8</v>
      </c>
      <c r="C4" s="6">
        <v>462.4</v>
      </c>
      <c r="E4" s="6">
        <v>0.5</v>
      </c>
      <c r="F4" s="6">
        <v>50</v>
      </c>
      <c r="H4" s="19" t="s">
        <v>29</v>
      </c>
      <c r="I4">
        <f>AVERAGE(B8:B10)</f>
        <v>265.3</v>
      </c>
      <c r="J4">
        <f>AVERAGE(C8:C10)</f>
        <v>517.06666666666672</v>
      </c>
      <c r="K4" s="6">
        <v>50</v>
      </c>
      <c r="L4" s="6">
        <v>0.5</v>
      </c>
      <c r="N4" s="18" t="s">
        <v>28</v>
      </c>
      <c r="O4">
        <f>(I3/J3)*100</f>
        <v>30.935202831472907</v>
      </c>
      <c r="R4" s="53" t="s">
        <v>49</v>
      </c>
      <c r="S4" s="9">
        <v>51.308664259927795</v>
      </c>
    </row>
    <row r="5" spans="1:20" ht="16.2" x14ac:dyDescent="0.35">
      <c r="A5" s="7" t="s">
        <v>3</v>
      </c>
      <c r="B5" s="6">
        <v>157.5</v>
      </c>
      <c r="C5" s="6">
        <v>522.1</v>
      </c>
      <c r="E5" s="6">
        <v>0.5</v>
      </c>
      <c r="F5" s="6">
        <v>50</v>
      </c>
      <c r="H5" s="18" t="s">
        <v>30</v>
      </c>
      <c r="I5">
        <f>AVERAGE(B11:B13)</f>
        <v>422</v>
      </c>
      <c r="J5">
        <f>AVERAGE(C11:C13)</f>
        <v>561.9666666666667</v>
      </c>
      <c r="K5" s="6">
        <v>50</v>
      </c>
      <c r="L5" s="6">
        <v>0.5</v>
      </c>
      <c r="N5" s="19" t="s">
        <v>29</v>
      </c>
      <c r="O5">
        <f>(I4/J4)*100</f>
        <v>51.308664259927795</v>
      </c>
      <c r="R5" s="53" t="s">
        <v>50</v>
      </c>
      <c r="S5" s="9">
        <v>75.09342191114537</v>
      </c>
    </row>
    <row r="6" spans="1:20" ht="16.2" x14ac:dyDescent="0.35">
      <c r="A6" s="7" t="s">
        <v>4</v>
      </c>
      <c r="B6" s="6">
        <v>171.4</v>
      </c>
      <c r="C6" s="6">
        <v>470.3</v>
      </c>
      <c r="E6" s="6">
        <v>0.5</v>
      </c>
      <c r="F6" s="6">
        <v>50</v>
      </c>
      <c r="H6" s="2">
        <v>1.4</v>
      </c>
      <c r="I6">
        <f>AVERAGE(B14)</f>
        <v>578.9</v>
      </c>
      <c r="J6">
        <f>AVERAGE(C14)</f>
        <v>662.6</v>
      </c>
      <c r="K6" s="6">
        <v>50</v>
      </c>
      <c r="L6" s="6">
        <v>0.5</v>
      </c>
      <c r="N6" s="18" t="s">
        <v>30</v>
      </c>
      <c r="O6">
        <f>(I5/J5)*100</f>
        <v>75.09342191114537</v>
      </c>
      <c r="R6" s="53" t="s">
        <v>97</v>
      </c>
      <c r="S6" s="9">
        <v>87.367944461213398</v>
      </c>
    </row>
    <row r="7" spans="1:20" ht="16.8" thickBot="1" x14ac:dyDescent="0.4">
      <c r="A7" s="7" t="s">
        <v>5</v>
      </c>
      <c r="B7" s="6">
        <v>125.6</v>
      </c>
      <c r="C7" s="6">
        <v>476.8</v>
      </c>
      <c r="E7" s="6">
        <v>0.5</v>
      </c>
      <c r="F7" s="6">
        <v>50</v>
      </c>
      <c r="H7" s="2">
        <v>1.5</v>
      </c>
      <c r="N7" s="2">
        <v>1.4</v>
      </c>
      <c r="O7">
        <f>(I6/J6)*100</f>
        <v>87.367944461213398</v>
      </c>
      <c r="R7" s="54" t="s">
        <v>98</v>
      </c>
      <c r="S7" s="100">
        <v>89.049000000000007</v>
      </c>
    </row>
    <row r="8" spans="1:20" x14ac:dyDescent="0.3">
      <c r="A8" s="7" t="s">
        <v>6</v>
      </c>
      <c r="B8" s="6">
        <v>235.1</v>
      </c>
      <c r="C8" s="6">
        <v>535.20000000000005</v>
      </c>
      <c r="E8" s="6">
        <v>0.5</v>
      </c>
      <c r="F8" s="6">
        <v>50</v>
      </c>
      <c r="N8" s="18" t="s">
        <v>93</v>
      </c>
      <c r="O8" s="16">
        <v>89.049000000000007</v>
      </c>
    </row>
    <row r="9" spans="1:20" x14ac:dyDescent="0.3">
      <c r="A9" s="7" t="s">
        <v>7</v>
      </c>
      <c r="B9" s="6">
        <v>303.3</v>
      </c>
      <c r="C9" s="6">
        <v>498.6</v>
      </c>
      <c r="E9" s="6">
        <v>0.5</v>
      </c>
      <c r="F9" s="6">
        <v>50</v>
      </c>
    </row>
    <row r="10" spans="1:20" x14ac:dyDescent="0.3">
      <c r="A10" s="7" t="s">
        <v>8</v>
      </c>
      <c r="B10" s="6">
        <v>257.5</v>
      </c>
      <c r="C10" s="6">
        <v>517.4</v>
      </c>
      <c r="E10" s="6">
        <v>0.5</v>
      </c>
      <c r="F10" s="6">
        <v>50</v>
      </c>
    </row>
    <row r="11" spans="1:20" x14ac:dyDescent="0.3">
      <c r="A11" s="7" t="s">
        <v>9</v>
      </c>
      <c r="B11" s="6">
        <v>321.8</v>
      </c>
      <c r="C11" s="6">
        <v>508.4</v>
      </c>
      <c r="E11" s="6">
        <v>0.5</v>
      </c>
      <c r="F11" s="6">
        <v>50</v>
      </c>
    </row>
    <row r="12" spans="1:20" x14ac:dyDescent="0.3">
      <c r="A12" s="7" t="s">
        <v>10</v>
      </c>
      <c r="B12" s="6">
        <v>454.7</v>
      </c>
      <c r="C12" s="6">
        <v>586</v>
      </c>
      <c r="E12" s="6">
        <v>0.5</v>
      </c>
      <c r="F12" s="6">
        <v>50</v>
      </c>
    </row>
    <row r="13" spans="1:20" x14ac:dyDescent="0.3">
      <c r="A13" s="7" t="s">
        <v>11</v>
      </c>
      <c r="B13" s="6">
        <v>489.5</v>
      </c>
      <c r="C13" s="6">
        <v>591.5</v>
      </c>
      <c r="E13" s="6">
        <v>0.5</v>
      </c>
      <c r="F13" s="6">
        <v>50</v>
      </c>
    </row>
    <row r="14" spans="1:20" x14ac:dyDescent="0.3">
      <c r="A14" s="7" t="s">
        <v>14</v>
      </c>
      <c r="B14" s="6">
        <v>578.9</v>
      </c>
      <c r="C14" s="6">
        <v>662.6</v>
      </c>
      <c r="E14" s="6">
        <v>0.5</v>
      </c>
      <c r="F14" s="6">
        <v>50</v>
      </c>
    </row>
    <row r="15" spans="1:20" x14ac:dyDescent="0.3">
      <c r="B15" s="1"/>
      <c r="C15" s="1"/>
    </row>
    <row r="16" spans="1:20" x14ac:dyDescent="0.3">
      <c r="B16" s="1"/>
      <c r="C16" s="1"/>
    </row>
  </sheetData>
  <mergeCells count="1">
    <mergeCell ref="N1:Q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113"/>
  <sheetViews>
    <sheetView topLeftCell="AD19" workbookViewId="0">
      <selection activeCell="AN15" sqref="AN15"/>
    </sheetView>
  </sheetViews>
  <sheetFormatPr defaultRowHeight="14.4" x14ac:dyDescent="0.3"/>
  <cols>
    <col min="1" max="1" width="18.5546875" customWidth="1"/>
    <col min="2" max="2" width="16.88671875" customWidth="1"/>
    <col min="3" max="3" width="17.5546875" customWidth="1"/>
    <col min="4" max="4" width="17.88671875" customWidth="1"/>
    <col min="5" max="5" width="16.5546875" customWidth="1"/>
    <col min="7" max="7" width="17" customWidth="1"/>
    <col min="8" max="8" width="17.5546875" customWidth="1"/>
    <col min="9" max="9" width="15.5546875" customWidth="1"/>
    <col min="11" max="11" width="18" customWidth="1"/>
    <col min="12" max="12" width="14.88671875" customWidth="1"/>
    <col min="13" max="13" width="17.109375" customWidth="1"/>
    <col min="14" max="14" width="16.33203125" customWidth="1"/>
    <col min="15" max="15" width="16.5546875" customWidth="1"/>
    <col min="20" max="20" width="18.44140625" customWidth="1"/>
    <col min="21" max="21" width="16.109375" customWidth="1"/>
    <col min="22" max="22" width="17.109375" customWidth="1"/>
    <col min="23" max="23" width="17.88671875" customWidth="1"/>
    <col min="24" max="24" width="15.88671875" customWidth="1"/>
    <col min="27" max="27" width="17.33203125" bestFit="1" customWidth="1"/>
    <col min="28" max="28" width="16.6640625" bestFit="1" customWidth="1"/>
    <col min="29" max="29" width="19.88671875" customWidth="1"/>
    <col min="30" max="30" width="18.5546875" customWidth="1"/>
    <col min="33" max="33" width="13" customWidth="1"/>
    <col min="34" max="34" width="13.5546875" customWidth="1"/>
    <col min="35" max="35" width="11.33203125" customWidth="1"/>
    <col min="36" max="36" width="11.6640625" customWidth="1"/>
    <col min="37" max="37" width="12.5546875" customWidth="1"/>
    <col min="38" max="38" width="11.6640625" customWidth="1"/>
    <col min="39" max="39" width="11.33203125" customWidth="1"/>
    <col min="40" max="40" width="12.88671875" customWidth="1"/>
    <col min="41" max="41" width="11.44140625" customWidth="1"/>
    <col min="42" max="42" width="12.44140625" customWidth="1"/>
  </cols>
  <sheetData>
    <row r="1" spans="1:44" ht="15" thickBot="1" x14ac:dyDescent="0.35">
      <c r="A1" s="174">
        <v>45097</v>
      </c>
      <c r="B1" s="174"/>
      <c r="C1" s="174"/>
      <c r="D1" s="174"/>
      <c r="E1" s="174"/>
      <c r="K1" s="174">
        <v>45107</v>
      </c>
      <c r="L1" s="174"/>
      <c r="M1" s="174"/>
      <c r="N1" s="174"/>
      <c r="O1" s="174"/>
      <c r="T1" s="174">
        <v>45118</v>
      </c>
      <c r="U1" s="174"/>
      <c r="V1" s="174"/>
      <c r="W1" s="174"/>
      <c r="X1" s="174"/>
      <c r="AA1" s="180" t="s">
        <v>216</v>
      </c>
      <c r="AB1" s="180"/>
      <c r="AC1" s="180"/>
      <c r="AD1" s="180"/>
      <c r="AG1" s="37"/>
      <c r="AH1" s="182" t="s">
        <v>219</v>
      </c>
      <c r="AI1" s="182"/>
      <c r="AJ1" s="182"/>
      <c r="AK1" s="182"/>
      <c r="AL1" s="37"/>
      <c r="AM1" s="37"/>
      <c r="AN1" s="37"/>
      <c r="AO1" s="37"/>
      <c r="AP1" s="37"/>
    </row>
    <row r="2" spans="1:44" x14ac:dyDescent="0.3">
      <c r="A2" s="10" t="s">
        <v>81</v>
      </c>
      <c r="B2" s="30" t="s">
        <v>82</v>
      </c>
      <c r="C2" s="30" t="s">
        <v>83</v>
      </c>
      <c r="D2" s="30" t="s">
        <v>84</v>
      </c>
      <c r="E2" s="30" t="s">
        <v>85</v>
      </c>
      <c r="G2" s="175">
        <v>45097</v>
      </c>
      <c r="H2" s="175"/>
      <c r="I2" s="175"/>
      <c r="K2" s="10" t="s">
        <v>81</v>
      </c>
      <c r="L2" s="30" t="s">
        <v>82</v>
      </c>
      <c r="M2" s="30" t="s">
        <v>83</v>
      </c>
      <c r="N2" s="30" t="s">
        <v>84</v>
      </c>
      <c r="O2" s="30" t="s">
        <v>85</v>
      </c>
      <c r="T2" s="10" t="s">
        <v>81</v>
      </c>
      <c r="U2" s="30" t="s">
        <v>82</v>
      </c>
      <c r="V2" s="30" t="s">
        <v>83</v>
      </c>
      <c r="W2" s="30" t="s">
        <v>84</v>
      </c>
      <c r="X2" s="30" t="s">
        <v>85</v>
      </c>
      <c r="AA2" s="105" t="s">
        <v>44</v>
      </c>
      <c r="AB2" s="87" t="s">
        <v>94</v>
      </c>
      <c r="AC2" s="87" t="s">
        <v>95</v>
      </c>
      <c r="AD2" s="106" t="s">
        <v>96</v>
      </c>
      <c r="AG2" s="183" t="s">
        <v>44</v>
      </c>
      <c r="AH2" s="178" t="s">
        <v>83</v>
      </c>
      <c r="AI2" s="178"/>
      <c r="AJ2" s="178"/>
      <c r="AK2" s="178" t="s">
        <v>84</v>
      </c>
      <c r="AL2" s="178"/>
      <c r="AM2" s="178"/>
      <c r="AN2" s="178" t="s">
        <v>112</v>
      </c>
      <c r="AO2" s="178"/>
      <c r="AP2" s="179"/>
    </row>
    <row r="3" spans="1:44" ht="22.8" x14ac:dyDescent="0.3">
      <c r="A3" s="172" t="s">
        <v>27</v>
      </c>
      <c r="B3" s="13">
        <v>468</v>
      </c>
      <c r="C3" s="13">
        <v>1.51</v>
      </c>
      <c r="D3" s="13">
        <v>1.56</v>
      </c>
      <c r="E3" s="13">
        <v>0</v>
      </c>
      <c r="G3" s="17" t="s">
        <v>37</v>
      </c>
      <c r="H3" s="31" t="s">
        <v>83</v>
      </c>
      <c r="I3" s="31" t="s">
        <v>84</v>
      </c>
      <c r="K3" s="172" t="s">
        <v>27</v>
      </c>
      <c r="L3" s="13">
        <v>442.5</v>
      </c>
      <c r="M3" s="13">
        <v>4.54</v>
      </c>
      <c r="N3" s="13">
        <v>1.33</v>
      </c>
      <c r="O3" s="13">
        <v>0</v>
      </c>
      <c r="T3" s="172" t="s">
        <v>27</v>
      </c>
      <c r="U3" s="13">
        <v>441.4</v>
      </c>
      <c r="V3" s="13">
        <v>7.06</v>
      </c>
      <c r="W3" s="13">
        <v>0.85</v>
      </c>
      <c r="X3" s="13">
        <v>0</v>
      </c>
      <c r="AA3" s="92" t="s">
        <v>47</v>
      </c>
      <c r="AB3" s="9">
        <v>6.2263636363636357</v>
      </c>
      <c r="AC3" s="9">
        <v>7.8966666666666656</v>
      </c>
      <c r="AD3" s="97">
        <v>8.5666666666666682</v>
      </c>
      <c r="AG3" s="184"/>
      <c r="AH3" s="107" t="s">
        <v>94</v>
      </c>
      <c r="AI3" s="107" t="s">
        <v>95</v>
      </c>
      <c r="AJ3" s="108" t="s">
        <v>96</v>
      </c>
      <c r="AK3" s="107" t="s">
        <v>94</v>
      </c>
      <c r="AL3" s="107" t="s">
        <v>95</v>
      </c>
      <c r="AM3" s="108" t="s">
        <v>96</v>
      </c>
      <c r="AN3" s="107" t="s">
        <v>94</v>
      </c>
      <c r="AO3" s="107" t="s">
        <v>95</v>
      </c>
      <c r="AP3" s="109" t="s">
        <v>96</v>
      </c>
    </row>
    <row r="4" spans="1:44" x14ac:dyDescent="0.3">
      <c r="A4" s="172"/>
      <c r="B4" s="13">
        <v>469.2</v>
      </c>
      <c r="C4" s="13">
        <v>9.69</v>
      </c>
      <c r="D4" s="13">
        <v>1.27</v>
      </c>
      <c r="E4" s="13">
        <v>0</v>
      </c>
      <c r="G4" s="18" t="s">
        <v>27</v>
      </c>
      <c r="H4">
        <f>AVERAGE(C3:C13)</f>
        <v>6.2263636363636357</v>
      </c>
      <c r="I4" s="91">
        <f>AVERAGE(D3:D13)</f>
        <v>0.99999999999999989</v>
      </c>
      <c r="K4" s="172"/>
      <c r="L4" s="13">
        <v>444.6</v>
      </c>
      <c r="M4" s="13">
        <v>8.3800000000000008</v>
      </c>
      <c r="N4" s="13">
        <v>1.37</v>
      </c>
      <c r="O4" s="13">
        <v>0</v>
      </c>
      <c r="T4" s="172"/>
      <c r="U4" s="13">
        <v>457.6</v>
      </c>
      <c r="V4" s="13">
        <v>22.42</v>
      </c>
      <c r="W4" s="13">
        <v>1.22</v>
      </c>
      <c r="X4" s="13">
        <v>0</v>
      </c>
      <c r="AA4" s="92" t="s">
        <v>48</v>
      </c>
      <c r="AB4" s="9">
        <v>7.0659999999999998</v>
      </c>
      <c r="AC4" s="9">
        <v>5.0818181818181811</v>
      </c>
      <c r="AD4" s="98">
        <v>8.3509090909090897</v>
      </c>
      <c r="AG4" s="110" t="s">
        <v>47</v>
      </c>
      <c r="AH4" s="111">
        <v>6.2263636363636357</v>
      </c>
      <c r="AI4" s="111">
        <v>7.8966666666666656</v>
      </c>
      <c r="AJ4" s="112">
        <v>8.5666666666666682</v>
      </c>
      <c r="AK4" s="113">
        <v>0.99999999999999989</v>
      </c>
      <c r="AL4" s="113">
        <v>1.0845454545454545</v>
      </c>
      <c r="AM4" s="113">
        <v>1.7508333333333332</v>
      </c>
      <c r="AN4" s="111">
        <v>6.2263636363636365</v>
      </c>
      <c r="AO4" s="111">
        <v>7.2810841017043861</v>
      </c>
      <c r="AP4" s="111">
        <v>4.8929081389814382</v>
      </c>
    </row>
    <row r="5" spans="1:44" x14ac:dyDescent="0.3">
      <c r="A5" s="172"/>
      <c r="B5" s="13">
        <v>463.1</v>
      </c>
      <c r="C5" s="13">
        <v>6.59</v>
      </c>
      <c r="D5" s="13">
        <v>1.1499999999999999</v>
      </c>
      <c r="E5" s="13">
        <v>0</v>
      </c>
      <c r="G5" s="18" t="s">
        <v>28</v>
      </c>
      <c r="H5">
        <f>AVERAGE(C24:C33)</f>
        <v>7.0659999999999998</v>
      </c>
      <c r="I5">
        <f>AVERAGE(D24:D33)</f>
        <v>0.90900000000000003</v>
      </c>
      <c r="K5" s="172"/>
      <c r="L5" s="13">
        <v>447</v>
      </c>
      <c r="M5" s="13">
        <v>11.67</v>
      </c>
      <c r="N5" s="13">
        <v>1.45</v>
      </c>
      <c r="O5" s="13">
        <v>0</v>
      </c>
      <c r="T5" s="172"/>
      <c r="U5" s="13">
        <v>446.5</v>
      </c>
      <c r="V5" s="13">
        <v>10.17</v>
      </c>
      <c r="W5" s="13">
        <v>1.24</v>
      </c>
      <c r="X5" s="13">
        <v>0</v>
      </c>
      <c r="AA5" s="92" t="s">
        <v>49</v>
      </c>
      <c r="AB5" s="9">
        <v>6.9390000000000001</v>
      </c>
      <c r="AC5" s="9">
        <v>4.4360000000000008</v>
      </c>
      <c r="AD5" s="98">
        <v>6.1924999999999999</v>
      </c>
      <c r="AG5" s="110" t="s">
        <v>48</v>
      </c>
      <c r="AH5" s="111">
        <v>7.0659999999999998</v>
      </c>
      <c r="AI5" s="111">
        <v>5.0818181818181811</v>
      </c>
      <c r="AJ5" s="114">
        <v>8.3509090909090897</v>
      </c>
      <c r="AK5" s="113">
        <v>0.90900000000000003</v>
      </c>
      <c r="AL5" s="113">
        <v>0.87249999999999994</v>
      </c>
      <c r="AM5" s="113">
        <v>0.95076923076923103</v>
      </c>
      <c r="AN5" s="111">
        <v>7.7733773377337734</v>
      </c>
      <c r="AO5" s="111">
        <v>5.8244334462099498</v>
      </c>
      <c r="AP5" s="111">
        <v>8.783318623124444</v>
      </c>
    </row>
    <row r="6" spans="1:44" x14ac:dyDescent="0.3">
      <c r="A6" s="172"/>
      <c r="B6" s="13">
        <v>459</v>
      </c>
      <c r="C6" s="13">
        <v>6.06</v>
      </c>
      <c r="D6" s="13">
        <v>0.83</v>
      </c>
      <c r="E6" s="13">
        <v>0</v>
      </c>
      <c r="G6" s="19" t="s">
        <v>29</v>
      </c>
      <c r="H6">
        <f>AVERAGE(C43:C52)</f>
        <v>6.9390000000000001</v>
      </c>
      <c r="I6">
        <f>AVERAGE(D43:D52)</f>
        <v>1.036</v>
      </c>
      <c r="K6" s="172"/>
      <c r="L6" s="13">
        <v>451.8</v>
      </c>
      <c r="M6" s="13">
        <v>1.53</v>
      </c>
      <c r="N6" s="13">
        <v>1.38</v>
      </c>
      <c r="O6" s="13">
        <v>0</v>
      </c>
      <c r="T6" s="172"/>
      <c r="U6" s="13">
        <v>443.1</v>
      </c>
      <c r="V6" s="13">
        <v>8.15</v>
      </c>
      <c r="W6" s="13">
        <v>1.02</v>
      </c>
      <c r="X6" s="13">
        <v>0</v>
      </c>
      <c r="AA6" s="92" t="s">
        <v>50</v>
      </c>
      <c r="AB6" s="100">
        <v>5.91256</v>
      </c>
      <c r="AC6" s="100">
        <v>4.0866660000000001</v>
      </c>
      <c r="AD6" s="97">
        <v>5.140769230769231</v>
      </c>
      <c r="AG6" s="110" t="s">
        <v>49</v>
      </c>
      <c r="AH6" s="111">
        <v>6.9390000000000001</v>
      </c>
      <c r="AI6" s="111">
        <v>4.4360000000000008</v>
      </c>
      <c r="AJ6" s="114">
        <v>6.1924999999999999</v>
      </c>
      <c r="AK6" s="113">
        <v>1.036</v>
      </c>
      <c r="AL6" s="113">
        <v>0.87099999999999989</v>
      </c>
      <c r="AM6" s="113">
        <v>0.82571428571428562</v>
      </c>
      <c r="AN6" s="111">
        <v>6.6978764478764479</v>
      </c>
      <c r="AO6" s="111">
        <v>5.0929965556831247</v>
      </c>
      <c r="AP6" s="111">
        <v>7.4995674740484439</v>
      </c>
    </row>
    <row r="7" spans="1:44" x14ac:dyDescent="0.3">
      <c r="A7" s="172"/>
      <c r="B7" s="13">
        <v>461.9</v>
      </c>
      <c r="C7" s="13">
        <v>7.52</v>
      </c>
      <c r="D7" s="13">
        <v>0.84</v>
      </c>
      <c r="E7" s="13">
        <v>0</v>
      </c>
      <c r="G7" s="18" t="s">
        <v>30</v>
      </c>
      <c r="H7" s="16">
        <v>5.91256</v>
      </c>
      <c r="I7">
        <f>AVERAGE(D62:D71)</f>
        <v>0.97200000000000009</v>
      </c>
      <c r="K7" s="172"/>
      <c r="L7" s="13">
        <v>467.3</v>
      </c>
      <c r="M7" s="13">
        <v>15.18</v>
      </c>
      <c r="N7" s="13">
        <v>1.1200000000000001</v>
      </c>
      <c r="O7" s="13">
        <v>0</v>
      </c>
      <c r="T7" s="172"/>
      <c r="U7" s="13">
        <v>440.3</v>
      </c>
      <c r="V7" s="13">
        <v>3.27</v>
      </c>
      <c r="W7" s="13">
        <v>1.19</v>
      </c>
      <c r="X7" s="13">
        <v>0</v>
      </c>
      <c r="AA7" s="92" t="s">
        <v>97</v>
      </c>
      <c r="AB7" s="9">
        <v>5.1833333333333336</v>
      </c>
      <c r="AC7">
        <v>3.8200000000000003</v>
      </c>
      <c r="AD7" s="22">
        <v>4.7699999999999996</v>
      </c>
      <c r="AG7" s="110" t="s">
        <v>50</v>
      </c>
      <c r="AH7" s="115">
        <v>5.91256</v>
      </c>
      <c r="AI7" s="115">
        <v>4.0866660000000001</v>
      </c>
      <c r="AJ7" s="112">
        <v>5.140769230769231</v>
      </c>
      <c r="AK7" s="113">
        <v>0.97200000000000009</v>
      </c>
      <c r="AL7" s="116">
        <v>0.86</v>
      </c>
      <c r="AM7" s="117">
        <v>0.61580000000000001</v>
      </c>
      <c r="AN7" s="111">
        <v>6.0828806584362134</v>
      </c>
      <c r="AO7" s="111">
        <v>4.7519372093023255</v>
      </c>
      <c r="AP7" s="111">
        <v>8.3481150223599077</v>
      </c>
    </row>
    <row r="8" spans="1:44" ht="15" thickBot="1" x14ac:dyDescent="0.35">
      <c r="A8" s="172"/>
      <c r="B8" s="13">
        <v>461.9</v>
      </c>
      <c r="C8" s="13">
        <v>6.16</v>
      </c>
      <c r="D8" s="13">
        <v>0.76</v>
      </c>
      <c r="E8" s="13">
        <v>0</v>
      </c>
      <c r="G8" s="2">
        <v>1.4</v>
      </c>
      <c r="H8">
        <f>AVERAGE(C81:C87)</f>
        <v>5.1833333333333336</v>
      </c>
      <c r="I8">
        <f>AVERAGE(D81:D87)</f>
        <v>0.62714285714285711</v>
      </c>
      <c r="K8" s="172"/>
      <c r="L8" s="13">
        <v>451.6</v>
      </c>
      <c r="M8" s="13"/>
      <c r="N8" s="13">
        <v>1.04</v>
      </c>
      <c r="O8" s="13">
        <v>0</v>
      </c>
      <c r="T8" s="172"/>
      <c r="U8" s="13">
        <v>469.7</v>
      </c>
      <c r="V8" s="13">
        <v>10.1</v>
      </c>
      <c r="W8" s="13">
        <v>3.04</v>
      </c>
      <c r="X8" s="13">
        <v>0</v>
      </c>
      <c r="AA8" s="101" t="s">
        <v>98</v>
      </c>
      <c r="AB8" s="100">
        <v>4.5620000000000003</v>
      </c>
      <c r="AC8" s="100">
        <v>3.6266666000000001</v>
      </c>
      <c r="AD8" s="99">
        <v>4.1208780000000003</v>
      </c>
      <c r="AG8" s="110" t="s">
        <v>97</v>
      </c>
      <c r="AH8" s="111">
        <v>5.1833333333333336</v>
      </c>
      <c r="AI8" s="118">
        <v>3.8200000000000003</v>
      </c>
      <c r="AJ8" s="119">
        <v>4.7699999999999996</v>
      </c>
      <c r="AK8" s="113">
        <v>0.62714285714285711</v>
      </c>
      <c r="AL8" s="113">
        <v>0.64666666666666661</v>
      </c>
      <c r="AM8" s="113">
        <v>0.5575</v>
      </c>
      <c r="AN8" s="111">
        <v>8.2649962034927871</v>
      </c>
      <c r="AO8" s="111">
        <v>5.907216494845362</v>
      </c>
      <c r="AP8" s="111">
        <v>8.5560538116591918</v>
      </c>
    </row>
    <row r="9" spans="1:44" ht="15" thickBot="1" x14ac:dyDescent="0.35">
      <c r="A9" s="172"/>
      <c r="B9" s="13">
        <v>462.2</v>
      </c>
      <c r="C9" s="13">
        <v>6.45</v>
      </c>
      <c r="D9" s="13">
        <v>0.98</v>
      </c>
      <c r="E9" s="13">
        <v>0</v>
      </c>
      <c r="G9" s="2">
        <v>1.5</v>
      </c>
      <c r="H9" s="16">
        <v>4.5620000000000003</v>
      </c>
      <c r="I9" s="16">
        <v>0.58199999999999996</v>
      </c>
      <c r="K9" s="172"/>
      <c r="L9" s="13">
        <v>461.8</v>
      </c>
      <c r="M9" s="13">
        <v>7.36</v>
      </c>
      <c r="N9" s="13">
        <v>0.99</v>
      </c>
      <c r="O9" s="13">
        <v>0</v>
      </c>
      <c r="T9" s="172"/>
      <c r="U9" s="13">
        <v>464.9</v>
      </c>
      <c r="V9" s="13">
        <v>12.58</v>
      </c>
      <c r="W9" s="13">
        <v>1.6</v>
      </c>
      <c r="X9" s="13">
        <v>0</v>
      </c>
      <c r="AA9" s="2"/>
      <c r="AB9" s="22"/>
      <c r="AC9" s="22"/>
      <c r="AG9" s="120" t="s">
        <v>98</v>
      </c>
      <c r="AH9" s="115">
        <v>4.5620000000000003</v>
      </c>
      <c r="AI9" s="115">
        <v>3.6266666000000001</v>
      </c>
      <c r="AJ9" s="117">
        <v>4.1208780000000003</v>
      </c>
      <c r="AK9" s="117">
        <v>0.58199999999999996</v>
      </c>
      <c r="AL9" s="117">
        <v>0.61333300000000002</v>
      </c>
      <c r="AM9" s="117">
        <v>0.30586999999999998</v>
      </c>
      <c r="AN9" s="111">
        <v>7.8384879725085916</v>
      </c>
      <c r="AO9" s="111">
        <v>5.9130465831774908</v>
      </c>
      <c r="AP9" s="111">
        <v>13.472645241442445</v>
      </c>
      <c r="AR9">
        <f>AP9/AP4</f>
        <v>2.7535046354348807</v>
      </c>
    </row>
    <row r="10" spans="1:44" x14ac:dyDescent="0.3">
      <c r="A10" s="172"/>
      <c r="B10" s="13">
        <v>461</v>
      </c>
      <c r="C10" s="13">
        <v>9.26</v>
      </c>
      <c r="D10" s="13">
        <v>0.86</v>
      </c>
      <c r="E10" s="13">
        <v>0</v>
      </c>
      <c r="K10" s="172"/>
      <c r="L10" s="13">
        <v>447.1</v>
      </c>
      <c r="M10" s="13">
        <v>1.23</v>
      </c>
      <c r="N10" s="13">
        <v>0.84</v>
      </c>
      <c r="O10" s="13">
        <v>0</v>
      </c>
      <c r="T10" s="172"/>
      <c r="U10" s="13">
        <v>453.8</v>
      </c>
      <c r="V10" s="13">
        <v>7.04</v>
      </c>
      <c r="W10" s="13">
        <v>0.94</v>
      </c>
      <c r="X10" s="13">
        <v>0</v>
      </c>
      <c r="AJ10">
        <f>AJ9*100/AJ4</f>
        <v>48.103634241245132</v>
      </c>
      <c r="AM10">
        <f>AM9*100/AM4</f>
        <v>17.469966682532128</v>
      </c>
      <c r="AP10">
        <f>AP9*100/AP4</f>
        <v>275.35046354348805</v>
      </c>
    </row>
    <row r="11" spans="1:44" ht="15" thickBot="1" x14ac:dyDescent="0.35">
      <c r="A11" s="172"/>
      <c r="B11" s="13">
        <v>453.8</v>
      </c>
      <c r="C11" s="13">
        <v>5.35</v>
      </c>
      <c r="D11" s="13">
        <v>0.99</v>
      </c>
      <c r="E11" s="13">
        <v>0</v>
      </c>
      <c r="K11" s="172"/>
      <c r="L11" s="13">
        <v>455.9</v>
      </c>
      <c r="M11" s="13">
        <v>15.24</v>
      </c>
      <c r="N11" s="13">
        <v>0.77</v>
      </c>
      <c r="O11" s="13">
        <v>0</v>
      </c>
      <c r="T11" s="172"/>
      <c r="U11" s="13">
        <v>438.4</v>
      </c>
      <c r="V11" s="13">
        <v>2.36</v>
      </c>
      <c r="W11" s="13">
        <v>2.98</v>
      </c>
      <c r="X11" s="13">
        <v>0</v>
      </c>
      <c r="AJ11">
        <f>100-AJ10</f>
        <v>51.896365758754868</v>
      </c>
      <c r="AM11">
        <f>100-AM10</f>
        <v>82.530033317467868</v>
      </c>
    </row>
    <row r="12" spans="1:44" ht="15" thickBot="1" x14ac:dyDescent="0.35">
      <c r="A12" s="172"/>
      <c r="B12" s="13">
        <v>452.6</v>
      </c>
      <c r="C12" s="13">
        <v>3.51</v>
      </c>
      <c r="D12" s="13">
        <v>0.79</v>
      </c>
      <c r="E12" s="13">
        <v>0</v>
      </c>
      <c r="K12" s="172"/>
      <c r="L12" s="13">
        <v>444.3</v>
      </c>
      <c r="M12" s="13"/>
      <c r="N12" s="13">
        <v>0.81</v>
      </c>
      <c r="O12" s="13">
        <v>0</v>
      </c>
      <c r="T12" s="172"/>
      <c r="U12" s="13">
        <v>438.3</v>
      </c>
      <c r="V12" s="13">
        <v>2.5099999999999998</v>
      </c>
      <c r="W12" s="13">
        <v>2.86</v>
      </c>
      <c r="X12" s="13">
        <v>0</v>
      </c>
      <c r="AA12" s="180" t="s">
        <v>217</v>
      </c>
      <c r="AB12" s="180"/>
      <c r="AC12" s="180"/>
      <c r="AD12" s="180"/>
    </row>
    <row r="13" spans="1:44" x14ac:dyDescent="0.3">
      <c r="A13" s="172"/>
      <c r="B13" s="13">
        <v>452</v>
      </c>
      <c r="C13" s="13">
        <v>6.39</v>
      </c>
      <c r="D13" s="13">
        <v>0.97</v>
      </c>
      <c r="E13" s="13">
        <v>0</v>
      </c>
      <c r="G13" s="176">
        <v>45107</v>
      </c>
      <c r="H13" s="176"/>
      <c r="I13" s="176"/>
      <c r="K13" s="172"/>
      <c r="L13" s="13">
        <v>444.5</v>
      </c>
      <c r="M13" s="13">
        <v>5.94</v>
      </c>
      <c r="N13" s="13">
        <v>0.83</v>
      </c>
      <c r="O13" s="13">
        <v>0</v>
      </c>
      <c r="T13" s="172"/>
      <c r="U13" s="13">
        <v>442.2</v>
      </c>
      <c r="V13" s="13">
        <v>2.13</v>
      </c>
      <c r="W13" s="13">
        <v>2.2200000000000002</v>
      </c>
      <c r="X13" s="13">
        <v>0</v>
      </c>
      <c r="AA13" s="102" t="s">
        <v>44</v>
      </c>
      <c r="AB13" s="103" t="s">
        <v>94</v>
      </c>
      <c r="AC13" s="103" t="s">
        <v>95</v>
      </c>
      <c r="AD13" s="104" t="s">
        <v>96</v>
      </c>
    </row>
    <row r="14" spans="1:44" x14ac:dyDescent="0.3">
      <c r="A14" s="173" t="s">
        <v>86</v>
      </c>
      <c r="B14" s="13">
        <v>461</v>
      </c>
      <c r="C14" s="13">
        <v>1.91</v>
      </c>
      <c r="D14" s="13">
        <v>0.73</v>
      </c>
      <c r="E14" s="13">
        <v>0</v>
      </c>
      <c r="G14" s="17" t="s">
        <v>37</v>
      </c>
      <c r="H14" s="31" t="s">
        <v>83</v>
      </c>
      <c r="I14" s="31" t="s">
        <v>84</v>
      </c>
      <c r="K14" s="173" t="s">
        <v>92</v>
      </c>
      <c r="L14" s="13">
        <v>449.3</v>
      </c>
      <c r="M14" s="13">
        <v>4.2300000000000004</v>
      </c>
      <c r="N14" s="13">
        <v>1.04</v>
      </c>
      <c r="O14" s="13">
        <v>0</v>
      </c>
      <c r="T14" s="172"/>
      <c r="U14" s="13">
        <v>448.9</v>
      </c>
      <c r="V14" s="13">
        <v>15.01</v>
      </c>
      <c r="W14" s="13">
        <v>1.85</v>
      </c>
      <c r="X14" s="13">
        <v>0</v>
      </c>
      <c r="AA14" s="92" t="s">
        <v>47</v>
      </c>
      <c r="AB14" s="60">
        <v>0.99999999999999989</v>
      </c>
      <c r="AC14" s="60">
        <v>1.0845454545454545</v>
      </c>
      <c r="AD14" s="60">
        <v>1.7508333333333332</v>
      </c>
    </row>
    <row r="15" spans="1:44" x14ac:dyDescent="0.3">
      <c r="A15" s="173"/>
      <c r="B15" s="13">
        <v>461.7</v>
      </c>
      <c r="C15" s="13">
        <v>4.2699999999999996</v>
      </c>
      <c r="D15" s="13">
        <v>1.2</v>
      </c>
      <c r="E15" s="13">
        <v>0</v>
      </c>
      <c r="G15" s="18" t="s">
        <v>27</v>
      </c>
      <c r="H15">
        <f>AVERAGE(M3:M13)</f>
        <v>7.8966666666666656</v>
      </c>
      <c r="I15">
        <f>AVERAGE(N3:N13)</f>
        <v>1.0845454545454545</v>
      </c>
      <c r="K15" s="173"/>
      <c r="L15" s="13">
        <v>451.3</v>
      </c>
      <c r="M15" s="13">
        <v>8.51</v>
      </c>
      <c r="N15" s="13">
        <v>1.05</v>
      </c>
      <c r="O15" s="13">
        <v>0</v>
      </c>
      <c r="T15" s="172" t="s">
        <v>92</v>
      </c>
      <c r="U15" s="13">
        <v>437.3</v>
      </c>
      <c r="V15" s="13">
        <v>5.52</v>
      </c>
      <c r="W15" s="13">
        <v>1.39</v>
      </c>
      <c r="X15" s="13">
        <v>0</v>
      </c>
      <c r="AA15" s="92" t="s">
        <v>48</v>
      </c>
      <c r="AB15" s="60">
        <v>0.90900000000000003</v>
      </c>
      <c r="AC15" s="60">
        <v>0.87249999999999994</v>
      </c>
      <c r="AD15" s="60">
        <v>0.95076923076923103</v>
      </c>
    </row>
    <row r="16" spans="1:44" x14ac:dyDescent="0.3">
      <c r="A16" s="173"/>
      <c r="B16" s="13">
        <v>464.7</v>
      </c>
      <c r="C16" s="13">
        <v>8.2799999999999994</v>
      </c>
      <c r="D16" s="13">
        <v>0.9</v>
      </c>
      <c r="E16" s="13">
        <v>0</v>
      </c>
      <c r="G16" s="18" t="s">
        <v>28</v>
      </c>
      <c r="H16">
        <f>AVERAGE(M22:M33)</f>
        <v>5.0818181818181811</v>
      </c>
      <c r="I16">
        <f>AVERAGE(N22:N33)</f>
        <v>0.87249999999999994</v>
      </c>
      <c r="K16" s="173"/>
      <c r="L16" s="13">
        <v>446.6</v>
      </c>
      <c r="M16" s="13">
        <v>5.55</v>
      </c>
      <c r="N16" s="13">
        <v>1.0900000000000001</v>
      </c>
      <c r="O16" s="13">
        <v>0</v>
      </c>
      <c r="T16" s="172"/>
      <c r="U16" s="13">
        <v>440</v>
      </c>
      <c r="V16" s="13">
        <v>11.65</v>
      </c>
      <c r="W16" s="13">
        <v>1.32</v>
      </c>
      <c r="X16" s="13">
        <v>0</v>
      </c>
      <c r="AA16" s="92" t="s">
        <v>49</v>
      </c>
      <c r="AB16" s="60">
        <v>1.036</v>
      </c>
      <c r="AC16" s="60">
        <v>0.87099999999999989</v>
      </c>
      <c r="AD16" s="60">
        <v>0.82571428571428562</v>
      </c>
    </row>
    <row r="17" spans="1:30" x14ac:dyDescent="0.3">
      <c r="A17" s="173"/>
      <c r="B17" s="13">
        <v>466.2</v>
      </c>
      <c r="C17" s="13">
        <v>9.0500000000000007</v>
      </c>
      <c r="D17" s="13">
        <v>0.83</v>
      </c>
      <c r="E17" s="13">
        <v>0</v>
      </c>
      <c r="G17" s="19" t="s">
        <v>29</v>
      </c>
      <c r="H17">
        <f>AVERAGE(M43:M52)</f>
        <v>4.4360000000000008</v>
      </c>
      <c r="I17">
        <f>AVERAGE(N43:N52)</f>
        <v>0.87099999999999989</v>
      </c>
      <c r="K17" s="173"/>
      <c r="L17" s="13">
        <v>459.1</v>
      </c>
      <c r="M17" s="13"/>
      <c r="N17" s="13">
        <v>0.89</v>
      </c>
      <c r="O17" s="13">
        <v>0</v>
      </c>
      <c r="T17" s="172"/>
      <c r="U17" s="13">
        <v>436.7</v>
      </c>
      <c r="V17" s="13">
        <v>9.58</v>
      </c>
      <c r="W17" s="13">
        <v>0.45</v>
      </c>
      <c r="X17" s="13">
        <v>0</v>
      </c>
      <c r="AA17" s="92" t="s">
        <v>50</v>
      </c>
      <c r="AB17" s="60">
        <v>0.97200000000000009</v>
      </c>
      <c r="AC17" s="37">
        <v>0.86</v>
      </c>
      <c r="AD17" s="99">
        <v>0.61580000000000001</v>
      </c>
    </row>
    <row r="18" spans="1:30" x14ac:dyDescent="0.3">
      <c r="A18" s="173"/>
      <c r="B18" s="13">
        <v>459.4</v>
      </c>
      <c r="C18" s="13">
        <v>5.27</v>
      </c>
      <c r="D18" s="13">
        <v>0.93</v>
      </c>
      <c r="E18" s="13">
        <v>0</v>
      </c>
      <c r="G18" s="18" t="s">
        <v>30</v>
      </c>
      <c r="H18" s="16">
        <v>4.0866660000000001</v>
      </c>
      <c r="I18">
        <f>AVERAGE(N62:N70)</f>
        <v>0.86</v>
      </c>
      <c r="K18" s="173"/>
      <c r="L18" s="13">
        <v>472.1</v>
      </c>
      <c r="M18" s="13">
        <v>31.73</v>
      </c>
      <c r="N18" s="13">
        <v>0.77</v>
      </c>
      <c r="O18" s="13">
        <v>0</v>
      </c>
      <c r="T18" s="172"/>
      <c r="U18" s="13">
        <v>435.4</v>
      </c>
      <c r="V18" s="13">
        <v>8.3000000000000007</v>
      </c>
      <c r="W18" s="13">
        <v>1.58</v>
      </c>
      <c r="X18" s="13">
        <v>0</v>
      </c>
      <c r="AA18" s="92" t="s">
        <v>97</v>
      </c>
      <c r="AB18" s="60">
        <v>0.62714285714285711</v>
      </c>
      <c r="AC18" s="60">
        <v>0.64666666666666661</v>
      </c>
      <c r="AD18" s="60">
        <v>0.5575</v>
      </c>
    </row>
    <row r="19" spans="1:30" ht="15" thickBot="1" x14ac:dyDescent="0.35">
      <c r="A19" s="173"/>
      <c r="B19" s="13">
        <v>459.8</v>
      </c>
      <c r="C19" s="13">
        <v>6.97</v>
      </c>
      <c r="D19" s="13">
        <v>0.96</v>
      </c>
      <c r="E19" s="13">
        <v>0</v>
      </c>
      <c r="G19" s="2">
        <v>1.4</v>
      </c>
      <c r="H19">
        <f>AVERAGE(M81:M83)</f>
        <v>3.8200000000000003</v>
      </c>
      <c r="I19">
        <f>AVERAGE(N81:N83)</f>
        <v>0.64666666666666661</v>
      </c>
      <c r="K19" s="173"/>
      <c r="L19" s="13">
        <v>474.3</v>
      </c>
      <c r="M19" s="13">
        <v>15.55</v>
      </c>
      <c r="N19" s="13">
        <v>0.91</v>
      </c>
      <c r="O19" s="13">
        <v>0</v>
      </c>
      <c r="T19" s="172"/>
      <c r="U19" s="13">
        <v>448.5</v>
      </c>
      <c r="V19" s="13">
        <v>2.91</v>
      </c>
      <c r="W19" s="13">
        <v>0.51</v>
      </c>
      <c r="X19" s="13">
        <v>0</v>
      </c>
      <c r="AA19" s="101" t="s">
        <v>98</v>
      </c>
      <c r="AB19" s="99">
        <v>0.58199999999999996</v>
      </c>
      <c r="AC19" s="99">
        <v>0.61333300000000002</v>
      </c>
      <c r="AD19" s="99">
        <v>0.30586999999999998</v>
      </c>
    </row>
    <row r="20" spans="1:30" x14ac:dyDescent="0.3">
      <c r="A20" s="173"/>
      <c r="B20" s="13">
        <v>463.1</v>
      </c>
      <c r="C20" s="13">
        <v>6.37</v>
      </c>
      <c r="D20" s="13">
        <v>1.1100000000000001</v>
      </c>
      <c r="E20" s="13">
        <v>0</v>
      </c>
      <c r="G20" s="2">
        <v>1.5</v>
      </c>
      <c r="H20" s="16">
        <v>3.6266666000000001</v>
      </c>
      <c r="I20" s="16">
        <v>0.61333300000000002</v>
      </c>
      <c r="K20" s="173"/>
      <c r="L20" s="13">
        <v>446.6</v>
      </c>
      <c r="M20" s="13">
        <v>2.98</v>
      </c>
      <c r="N20" s="13">
        <v>0.82</v>
      </c>
      <c r="O20" s="13">
        <v>0</v>
      </c>
      <c r="T20" s="172"/>
      <c r="U20" s="13">
        <v>463.7</v>
      </c>
      <c r="V20" s="13">
        <v>23.17</v>
      </c>
      <c r="W20" s="13">
        <v>0.56999999999999995</v>
      </c>
      <c r="X20" s="13">
        <v>0</v>
      </c>
    </row>
    <row r="21" spans="1:30" x14ac:dyDescent="0.3">
      <c r="A21" s="173"/>
      <c r="B21" s="13">
        <v>445.3</v>
      </c>
      <c r="C21" s="13">
        <v>4.28</v>
      </c>
      <c r="D21" s="13">
        <v>1.02</v>
      </c>
      <c r="E21" s="13">
        <v>0</v>
      </c>
      <c r="K21" s="173"/>
      <c r="L21" s="13">
        <v>440.5</v>
      </c>
      <c r="M21" s="13">
        <v>2.81</v>
      </c>
      <c r="N21" s="13">
        <v>0.8</v>
      </c>
      <c r="O21" s="13">
        <v>0</v>
      </c>
      <c r="T21" s="172"/>
      <c r="U21" s="13">
        <v>452</v>
      </c>
      <c r="V21" s="13">
        <v>5.65</v>
      </c>
      <c r="W21" s="13">
        <v>1.1100000000000001</v>
      </c>
      <c r="X21" s="13">
        <v>0</v>
      </c>
    </row>
    <row r="22" spans="1:30" x14ac:dyDescent="0.3">
      <c r="A22" s="173"/>
      <c r="B22" s="13">
        <v>446.1</v>
      </c>
      <c r="C22" s="13">
        <v>4.0599999999999996</v>
      </c>
      <c r="D22" s="13">
        <v>1.04</v>
      </c>
      <c r="E22" s="13">
        <v>0</v>
      </c>
      <c r="K22" s="172" t="s">
        <v>28</v>
      </c>
      <c r="L22" s="13">
        <v>441.3</v>
      </c>
      <c r="M22" s="13">
        <v>10.32</v>
      </c>
      <c r="N22" s="13">
        <v>0.87</v>
      </c>
      <c r="O22" s="13">
        <v>0</v>
      </c>
      <c r="T22" s="172"/>
      <c r="U22" s="13">
        <v>443.6</v>
      </c>
      <c r="V22" s="13">
        <v>1.7</v>
      </c>
      <c r="W22" s="13">
        <v>1.21</v>
      </c>
      <c r="X22" s="13">
        <v>0</v>
      </c>
    </row>
    <row r="23" spans="1:30" x14ac:dyDescent="0.3">
      <c r="A23" s="173"/>
      <c r="B23" s="13">
        <v>448.1</v>
      </c>
      <c r="C23" s="13">
        <v>6.29</v>
      </c>
      <c r="D23" s="13">
        <v>1.17</v>
      </c>
      <c r="E23" s="13">
        <v>0</v>
      </c>
      <c r="G23" s="177">
        <v>45118</v>
      </c>
      <c r="H23" s="177"/>
      <c r="I23" s="177"/>
      <c r="K23" s="172"/>
      <c r="L23" s="13">
        <v>433.5</v>
      </c>
      <c r="M23" s="13">
        <v>5.75</v>
      </c>
      <c r="N23" s="13">
        <v>0.85</v>
      </c>
      <c r="O23" s="13">
        <v>0</v>
      </c>
      <c r="T23" s="172"/>
      <c r="U23" s="13">
        <v>444.3</v>
      </c>
      <c r="V23" s="13">
        <v>1.6</v>
      </c>
      <c r="W23" s="13">
        <v>2.19</v>
      </c>
      <c r="X23" s="13">
        <v>0</v>
      </c>
      <c r="AA23" s="181" t="s">
        <v>218</v>
      </c>
      <c r="AB23" s="181"/>
      <c r="AC23" s="181"/>
      <c r="AD23" s="181"/>
    </row>
    <row r="24" spans="1:30" x14ac:dyDescent="0.3">
      <c r="A24" s="172" t="s">
        <v>28</v>
      </c>
      <c r="B24" s="13">
        <v>448.5</v>
      </c>
      <c r="C24" s="13">
        <v>1.22</v>
      </c>
      <c r="D24" s="13">
        <v>0.68</v>
      </c>
      <c r="E24" s="13">
        <v>0</v>
      </c>
      <c r="G24" s="32" t="s">
        <v>37</v>
      </c>
      <c r="H24" s="4" t="s">
        <v>83</v>
      </c>
      <c r="I24" s="4" t="s">
        <v>84</v>
      </c>
      <c r="K24" s="172"/>
      <c r="L24" s="13">
        <v>431.6</v>
      </c>
      <c r="M24" s="13">
        <v>7.55</v>
      </c>
      <c r="N24" s="13">
        <v>0.99</v>
      </c>
      <c r="O24" s="13">
        <v>0</v>
      </c>
      <c r="T24" s="172"/>
      <c r="U24" s="13">
        <v>459.2</v>
      </c>
      <c r="V24" s="13">
        <v>5.37</v>
      </c>
      <c r="W24" s="13">
        <v>2.34</v>
      </c>
      <c r="X24" s="13">
        <v>0</v>
      </c>
      <c r="AA24" s="85" t="s">
        <v>44</v>
      </c>
      <c r="AB24" s="85" t="s">
        <v>94</v>
      </c>
      <c r="AC24" s="85" t="s">
        <v>95</v>
      </c>
      <c r="AD24" s="85" t="s">
        <v>96</v>
      </c>
    </row>
    <row r="25" spans="1:30" x14ac:dyDescent="0.3">
      <c r="A25" s="172"/>
      <c r="B25" s="13">
        <v>450.3</v>
      </c>
      <c r="C25" s="13">
        <v>7.21</v>
      </c>
      <c r="D25" s="13">
        <v>0.87</v>
      </c>
      <c r="E25" s="13">
        <v>0</v>
      </c>
      <c r="G25" s="20" t="s">
        <v>27</v>
      </c>
      <c r="H25" s="22">
        <v>8.5666666666666682</v>
      </c>
      <c r="I25" s="22">
        <v>1.7508333333333332</v>
      </c>
      <c r="K25" s="172"/>
      <c r="L25" s="13">
        <v>436.6</v>
      </c>
      <c r="M25" s="13">
        <v>3.36</v>
      </c>
      <c r="N25" s="13">
        <v>0.99</v>
      </c>
      <c r="O25" s="13">
        <v>0</v>
      </c>
      <c r="T25" s="172"/>
      <c r="U25" s="13">
        <v>444.1</v>
      </c>
      <c r="V25" s="13">
        <v>3.01</v>
      </c>
      <c r="W25" s="13">
        <v>2.34</v>
      </c>
      <c r="X25" s="13">
        <v>0</v>
      </c>
      <c r="AA25" s="92" t="s">
        <v>47</v>
      </c>
      <c r="AB25" s="9">
        <f t="shared" ref="AB25:AD30" si="0">AB3/AB14</f>
        <v>6.2263636363636365</v>
      </c>
      <c r="AC25" s="9">
        <f t="shared" si="0"/>
        <v>7.2810841017043861</v>
      </c>
      <c r="AD25" s="9">
        <f t="shared" si="0"/>
        <v>4.8929081389814382</v>
      </c>
    </row>
    <row r="26" spans="1:30" x14ac:dyDescent="0.3">
      <c r="A26" s="172"/>
      <c r="B26" s="13">
        <v>452</v>
      </c>
      <c r="C26" s="13">
        <v>4.93</v>
      </c>
      <c r="D26" s="13">
        <v>1.01</v>
      </c>
      <c r="E26" s="13">
        <v>0</v>
      </c>
      <c r="G26" s="20" t="s">
        <v>28</v>
      </c>
      <c r="H26" s="24">
        <v>8.3509090909090897</v>
      </c>
      <c r="I26" s="22">
        <v>0.95076923076923103</v>
      </c>
      <c r="K26" s="172"/>
      <c r="L26" s="13">
        <v>437.4</v>
      </c>
      <c r="M26" s="13">
        <v>2.5099999999999998</v>
      </c>
      <c r="N26" s="13">
        <v>1.08</v>
      </c>
      <c r="O26" s="13">
        <v>0</v>
      </c>
      <c r="T26" s="172"/>
      <c r="U26" s="13">
        <v>455.4</v>
      </c>
      <c r="V26" s="13">
        <v>8.34</v>
      </c>
      <c r="W26" s="13">
        <v>2.11</v>
      </c>
      <c r="X26" s="13">
        <v>0</v>
      </c>
      <c r="AA26" s="92" t="s">
        <v>48</v>
      </c>
      <c r="AB26" s="9">
        <f t="shared" si="0"/>
        <v>7.7733773377337734</v>
      </c>
      <c r="AC26" s="9">
        <f t="shared" si="0"/>
        <v>5.8244334462099498</v>
      </c>
      <c r="AD26" s="9">
        <f t="shared" si="0"/>
        <v>8.783318623124444</v>
      </c>
    </row>
    <row r="27" spans="1:30" x14ac:dyDescent="0.3">
      <c r="A27" s="172"/>
      <c r="B27" s="13">
        <v>458.7</v>
      </c>
      <c r="C27" s="13">
        <v>8.68</v>
      </c>
      <c r="D27" s="13">
        <v>1.1100000000000001</v>
      </c>
      <c r="E27" s="13">
        <v>0</v>
      </c>
      <c r="G27" s="23" t="s">
        <v>29</v>
      </c>
      <c r="H27" s="24">
        <v>6.1924999999999999</v>
      </c>
      <c r="I27" s="22">
        <v>0.82571428571428562</v>
      </c>
      <c r="K27" s="172"/>
      <c r="L27" s="13">
        <v>436.8</v>
      </c>
      <c r="M27" s="13">
        <v>4.34</v>
      </c>
      <c r="N27" s="13">
        <v>1.17</v>
      </c>
      <c r="O27" s="13">
        <v>0</v>
      </c>
      <c r="T27" s="172" t="s">
        <v>28</v>
      </c>
      <c r="U27" s="13">
        <v>438.3</v>
      </c>
      <c r="V27" s="13"/>
      <c r="W27" s="13">
        <v>0.7</v>
      </c>
      <c r="X27" s="13">
        <v>0</v>
      </c>
      <c r="AA27" s="92" t="s">
        <v>49</v>
      </c>
      <c r="AB27" s="9">
        <f t="shared" si="0"/>
        <v>6.6978764478764479</v>
      </c>
      <c r="AC27" s="9">
        <f t="shared" si="0"/>
        <v>5.0929965556831247</v>
      </c>
      <c r="AD27" s="9">
        <f t="shared" si="0"/>
        <v>7.4995674740484439</v>
      </c>
    </row>
    <row r="28" spans="1:30" x14ac:dyDescent="0.3">
      <c r="A28" s="172"/>
      <c r="B28" s="13">
        <v>448.2</v>
      </c>
      <c r="C28" s="13">
        <v>12.65</v>
      </c>
      <c r="D28" s="13">
        <v>1.05</v>
      </c>
      <c r="E28" s="13">
        <v>0</v>
      </c>
      <c r="G28" s="20" t="s">
        <v>30</v>
      </c>
      <c r="H28" s="22">
        <v>5.140769230769231</v>
      </c>
      <c r="I28" s="24">
        <v>0.61580000000000001</v>
      </c>
      <c r="K28" s="172"/>
      <c r="L28" s="13">
        <v>436.9</v>
      </c>
      <c r="M28" s="13">
        <v>4.37</v>
      </c>
      <c r="N28" s="13">
        <v>0.99</v>
      </c>
      <c r="O28" s="13">
        <v>0</v>
      </c>
      <c r="T28" s="172"/>
      <c r="U28" s="13">
        <v>445.5</v>
      </c>
      <c r="V28" s="13">
        <v>4.62</v>
      </c>
      <c r="W28" s="13">
        <v>0.96</v>
      </c>
      <c r="X28" s="13">
        <v>0</v>
      </c>
      <c r="AA28" s="92" t="s">
        <v>50</v>
      </c>
      <c r="AB28" s="9">
        <f t="shared" si="0"/>
        <v>6.0828806584362134</v>
      </c>
      <c r="AC28" s="9">
        <f t="shared" si="0"/>
        <v>4.7519372093023255</v>
      </c>
      <c r="AD28" s="9">
        <f t="shared" si="0"/>
        <v>8.3481150223599077</v>
      </c>
    </row>
    <row r="29" spans="1:30" x14ac:dyDescent="0.3">
      <c r="A29" s="172"/>
      <c r="B29" s="13">
        <v>447.8</v>
      </c>
      <c r="C29" s="13">
        <v>4.49</v>
      </c>
      <c r="D29" s="13">
        <v>0.88</v>
      </c>
      <c r="E29" s="13">
        <v>0</v>
      </c>
      <c r="G29" s="2">
        <v>1.4</v>
      </c>
      <c r="H29" s="22">
        <v>4.7699999999999996</v>
      </c>
      <c r="I29" s="22">
        <v>0.5575</v>
      </c>
      <c r="K29" s="172"/>
      <c r="L29" s="13">
        <v>441.2</v>
      </c>
      <c r="M29" s="13">
        <v>1.46</v>
      </c>
      <c r="N29" s="13">
        <v>0.56000000000000005</v>
      </c>
      <c r="O29" s="13">
        <v>0</v>
      </c>
      <c r="T29" s="172"/>
      <c r="U29" s="13">
        <v>458.5</v>
      </c>
      <c r="V29" s="13">
        <v>13.64</v>
      </c>
      <c r="W29" s="13">
        <v>1.03</v>
      </c>
      <c r="X29" s="13">
        <v>0</v>
      </c>
      <c r="AA29" s="92" t="s">
        <v>97</v>
      </c>
      <c r="AB29" s="9">
        <f t="shared" si="0"/>
        <v>8.2649962034927871</v>
      </c>
      <c r="AC29" s="9">
        <f t="shared" si="0"/>
        <v>5.907216494845362</v>
      </c>
      <c r="AD29" s="9">
        <f t="shared" si="0"/>
        <v>8.5560538116591918</v>
      </c>
    </row>
    <row r="30" spans="1:30" ht="15" thickBot="1" x14ac:dyDescent="0.35">
      <c r="A30" s="172"/>
      <c r="B30" s="13">
        <v>454.5</v>
      </c>
      <c r="C30" s="13">
        <v>6.39</v>
      </c>
      <c r="D30" s="13">
        <v>0.9</v>
      </c>
      <c r="E30" s="13">
        <v>0</v>
      </c>
      <c r="G30" s="2">
        <v>1.5</v>
      </c>
      <c r="H30" s="24">
        <v>4.1208780000000003</v>
      </c>
      <c r="I30" s="24">
        <v>0.30586999999999998</v>
      </c>
      <c r="K30" s="172"/>
      <c r="L30" s="13">
        <v>443.5</v>
      </c>
      <c r="M30" s="13"/>
      <c r="N30" s="13">
        <v>0.81</v>
      </c>
      <c r="O30" s="13">
        <v>0</v>
      </c>
      <c r="T30" s="172"/>
      <c r="U30" s="13">
        <v>448.1</v>
      </c>
      <c r="V30" s="13">
        <v>7.97</v>
      </c>
      <c r="W30" s="13">
        <v>1.17</v>
      </c>
      <c r="X30" s="13">
        <v>0</v>
      </c>
      <c r="AA30" s="101" t="s">
        <v>98</v>
      </c>
      <c r="AB30" s="9">
        <f t="shared" si="0"/>
        <v>7.8384879725085916</v>
      </c>
      <c r="AC30" s="9">
        <f t="shared" si="0"/>
        <v>5.9130465831774908</v>
      </c>
      <c r="AD30" s="9">
        <f t="shared" si="0"/>
        <v>13.472645241442445</v>
      </c>
    </row>
    <row r="31" spans="1:30" x14ac:dyDescent="0.3">
      <c r="A31" s="172"/>
      <c r="B31" s="13">
        <v>456.1</v>
      </c>
      <c r="C31" s="13">
        <v>6.01</v>
      </c>
      <c r="D31" s="13">
        <v>0.84</v>
      </c>
      <c r="E31" s="13">
        <v>0</v>
      </c>
      <c r="K31" s="172"/>
      <c r="L31" s="13">
        <v>440.7</v>
      </c>
      <c r="M31" s="13">
        <v>7.37</v>
      </c>
      <c r="N31" s="13">
        <v>0.69</v>
      </c>
      <c r="O31" s="13">
        <v>0</v>
      </c>
      <c r="T31" s="172"/>
      <c r="U31" s="13">
        <v>446.5</v>
      </c>
      <c r="V31" s="13">
        <v>8.2899999999999991</v>
      </c>
      <c r="W31" s="13">
        <v>0.71</v>
      </c>
      <c r="X31" s="13">
        <v>0</v>
      </c>
    </row>
    <row r="32" spans="1:30" x14ac:dyDescent="0.3">
      <c r="A32" s="172"/>
      <c r="B32" s="13">
        <v>460</v>
      </c>
      <c r="C32" s="13">
        <v>10.49</v>
      </c>
      <c r="D32" s="13">
        <v>1.08</v>
      </c>
      <c r="E32" s="13">
        <v>0</v>
      </c>
      <c r="H32" s="22"/>
      <c r="K32" s="172"/>
      <c r="L32" s="13">
        <v>438.6</v>
      </c>
      <c r="M32" s="13">
        <v>3.48</v>
      </c>
      <c r="N32" s="13">
        <v>0.77</v>
      </c>
      <c r="O32" s="13">
        <v>0</v>
      </c>
      <c r="T32" s="172"/>
      <c r="U32" s="13">
        <v>452.2</v>
      </c>
      <c r="V32" s="13">
        <v>9.44</v>
      </c>
      <c r="W32" s="13">
        <v>1.42</v>
      </c>
      <c r="X32" s="13">
        <v>0</v>
      </c>
    </row>
    <row r="33" spans="1:24" x14ac:dyDescent="0.3">
      <c r="A33" s="172"/>
      <c r="B33" s="13">
        <v>451.5</v>
      </c>
      <c r="C33" s="13">
        <v>8.59</v>
      </c>
      <c r="D33" s="13">
        <v>0.67</v>
      </c>
      <c r="E33" s="13">
        <v>0</v>
      </c>
      <c r="H33" s="24"/>
      <c r="K33" s="172"/>
      <c r="L33" s="13">
        <v>440.1</v>
      </c>
      <c r="M33" s="13">
        <v>5.39</v>
      </c>
      <c r="N33" s="13">
        <v>0.7</v>
      </c>
      <c r="O33" s="13">
        <v>0</v>
      </c>
      <c r="T33" s="172"/>
      <c r="U33" s="13">
        <v>446.2</v>
      </c>
      <c r="V33" s="13">
        <v>3.33</v>
      </c>
      <c r="W33" s="13">
        <v>1.07</v>
      </c>
      <c r="X33" s="13">
        <v>0</v>
      </c>
    </row>
    <row r="34" spans="1:24" x14ac:dyDescent="0.3">
      <c r="A34" s="172" t="s">
        <v>87</v>
      </c>
      <c r="B34" s="13">
        <v>450.5</v>
      </c>
      <c r="C34" s="13">
        <v>4.41</v>
      </c>
      <c r="D34" s="13">
        <v>1.07</v>
      </c>
      <c r="E34" s="13">
        <v>0</v>
      </c>
      <c r="K34" s="172" t="s">
        <v>87</v>
      </c>
      <c r="L34" s="13">
        <v>437.1</v>
      </c>
      <c r="M34" s="13">
        <v>6.79</v>
      </c>
      <c r="N34" s="13">
        <v>1.1499999999999999</v>
      </c>
      <c r="O34" s="13">
        <v>0</v>
      </c>
      <c r="T34" s="172"/>
      <c r="U34" s="13">
        <v>447.9</v>
      </c>
      <c r="V34" s="13">
        <v>5.32</v>
      </c>
      <c r="W34" s="13">
        <v>1.07</v>
      </c>
      <c r="X34" s="13">
        <v>0</v>
      </c>
    </row>
    <row r="35" spans="1:24" x14ac:dyDescent="0.3">
      <c r="A35" s="172"/>
      <c r="B35" s="13">
        <v>453.3</v>
      </c>
      <c r="C35" s="13">
        <v>8.16</v>
      </c>
      <c r="D35" s="13">
        <v>1.17</v>
      </c>
      <c r="E35" s="13">
        <v>0</v>
      </c>
      <c r="K35" s="172"/>
      <c r="L35" s="13">
        <v>436.4</v>
      </c>
      <c r="M35" s="13">
        <v>5.15</v>
      </c>
      <c r="N35" s="13">
        <v>1.2</v>
      </c>
      <c r="O35" s="13">
        <v>0</v>
      </c>
      <c r="T35" s="172"/>
      <c r="U35" s="13">
        <v>446.5</v>
      </c>
      <c r="V35" s="13">
        <v>2.52</v>
      </c>
      <c r="W35" s="13">
        <v>0.63</v>
      </c>
      <c r="X35" s="13">
        <v>0</v>
      </c>
    </row>
    <row r="36" spans="1:24" x14ac:dyDescent="0.3">
      <c r="A36" s="172"/>
      <c r="B36" s="13">
        <v>447.7</v>
      </c>
      <c r="C36" s="13">
        <v>4.6100000000000003</v>
      </c>
      <c r="D36" s="13">
        <v>1.1399999999999999</v>
      </c>
      <c r="E36" s="13">
        <v>0</v>
      </c>
      <c r="K36" s="172"/>
      <c r="L36" s="13">
        <v>437.3</v>
      </c>
      <c r="M36" s="13">
        <v>5.89</v>
      </c>
      <c r="N36" s="13">
        <v>1.24</v>
      </c>
      <c r="O36" s="13">
        <v>0</v>
      </c>
      <c r="T36" s="172"/>
      <c r="U36" s="13">
        <v>442</v>
      </c>
      <c r="V36" s="13">
        <v>3.46</v>
      </c>
      <c r="W36" s="13">
        <v>0.82</v>
      </c>
      <c r="X36" s="13">
        <v>0</v>
      </c>
    </row>
    <row r="37" spans="1:24" x14ac:dyDescent="0.3">
      <c r="A37" s="172"/>
      <c r="B37" s="13">
        <v>448.8</v>
      </c>
      <c r="C37" s="13">
        <v>5.54</v>
      </c>
      <c r="D37" s="13">
        <v>1.06</v>
      </c>
      <c r="E37" s="13">
        <v>0</v>
      </c>
      <c r="K37" s="172"/>
      <c r="L37" s="13">
        <v>436.2</v>
      </c>
      <c r="M37" s="13">
        <v>3.64</v>
      </c>
      <c r="N37" s="13">
        <v>1.1200000000000001</v>
      </c>
      <c r="O37" s="13">
        <v>0</v>
      </c>
      <c r="T37" s="172"/>
      <c r="U37" s="13">
        <v>441.2</v>
      </c>
      <c r="V37" s="13">
        <v>4.38</v>
      </c>
      <c r="W37" s="13">
        <v>0.64</v>
      </c>
      <c r="X37" s="13">
        <v>0</v>
      </c>
    </row>
    <row r="38" spans="1:24" x14ac:dyDescent="0.3">
      <c r="A38" s="172"/>
      <c r="B38" s="13">
        <v>449.4</v>
      </c>
      <c r="C38" s="13">
        <v>6.27</v>
      </c>
      <c r="D38" s="13">
        <v>0.92</v>
      </c>
      <c r="E38" s="13">
        <v>0</v>
      </c>
      <c r="K38" s="172"/>
      <c r="L38" s="13">
        <v>436.5</v>
      </c>
      <c r="M38" s="13">
        <v>5.63</v>
      </c>
      <c r="N38" s="13">
        <v>1.25</v>
      </c>
      <c r="O38" s="13">
        <v>0</v>
      </c>
      <c r="T38" s="172"/>
      <c r="U38" s="13">
        <v>441.6</v>
      </c>
      <c r="V38" s="13">
        <v>3</v>
      </c>
      <c r="W38" s="13">
        <v>1.35</v>
      </c>
      <c r="X38" s="13">
        <v>0</v>
      </c>
    </row>
    <row r="39" spans="1:24" x14ac:dyDescent="0.3">
      <c r="A39" s="172"/>
      <c r="B39" s="13">
        <v>452</v>
      </c>
      <c r="C39" s="13">
        <v>7.66</v>
      </c>
      <c r="D39" s="13">
        <v>1.01</v>
      </c>
      <c r="E39" s="13">
        <v>0</v>
      </c>
      <c r="K39" s="172"/>
      <c r="L39" s="13">
        <v>436.2</v>
      </c>
      <c r="M39" s="13">
        <v>3.8</v>
      </c>
      <c r="N39" s="13">
        <v>1.07</v>
      </c>
      <c r="O39" s="13">
        <v>0</v>
      </c>
      <c r="T39" s="172"/>
      <c r="U39" s="13">
        <v>441.4</v>
      </c>
      <c r="V39" s="13">
        <v>8.34</v>
      </c>
      <c r="W39" s="13">
        <v>0.79</v>
      </c>
      <c r="X39" s="13">
        <v>0</v>
      </c>
    </row>
    <row r="40" spans="1:24" x14ac:dyDescent="0.3">
      <c r="A40" s="172"/>
      <c r="B40" s="13">
        <v>445</v>
      </c>
      <c r="C40" s="13">
        <v>3.38</v>
      </c>
      <c r="D40" s="13">
        <v>0.85</v>
      </c>
      <c r="E40" s="13">
        <v>0</v>
      </c>
      <c r="K40" s="172"/>
      <c r="L40" s="13">
        <v>439.9</v>
      </c>
      <c r="M40" s="13">
        <v>6.31</v>
      </c>
      <c r="N40" s="13">
        <v>0.82</v>
      </c>
      <c r="O40" s="13">
        <v>0</v>
      </c>
      <c r="T40" s="172" t="s">
        <v>87</v>
      </c>
      <c r="U40" s="13">
        <v>457.5</v>
      </c>
      <c r="V40" s="13">
        <v>17.29</v>
      </c>
      <c r="W40" s="13">
        <v>0.86</v>
      </c>
      <c r="X40" s="13">
        <v>0</v>
      </c>
    </row>
    <row r="41" spans="1:24" x14ac:dyDescent="0.3">
      <c r="A41" s="172"/>
      <c r="B41" s="13">
        <v>444.9</v>
      </c>
      <c r="C41" s="13">
        <v>6.55</v>
      </c>
      <c r="D41" s="13">
        <v>0.98</v>
      </c>
      <c r="E41" s="13">
        <v>0</v>
      </c>
      <c r="K41" s="172"/>
      <c r="L41" s="13">
        <v>439.3</v>
      </c>
      <c r="M41" s="13">
        <v>3.96</v>
      </c>
      <c r="N41" s="13">
        <v>1.02</v>
      </c>
      <c r="O41" s="13">
        <v>0</v>
      </c>
      <c r="T41" s="172"/>
      <c r="U41" s="13">
        <v>445.8</v>
      </c>
      <c r="V41" s="13">
        <v>8.9600000000000009</v>
      </c>
      <c r="W41" s="13">
        <v>1.08</v>
      </c>
      <c r="X41" s="13">
        <v>0</v>
      </c>
    </row>
    <row r="42" spans="1:24" x14ac:dyDescent="0.3">
      <c r="A42" s="172"/>
      <c r="B42" s="13">
        <v>449.1</v>
      </c>
      <c r="C42" s="13">
        <v>7.54</v>
      </c>
      <c r="D42" s="13">
        <v>0.98</v>
      </c>
      <c r="E42" s="13">
        <v>0</v>
      </c>
      <c r="K42" s="172"/>
      <c r="L42" s="13">
        <v>440.2</v>
      </c>
      <c r="M42" s="13">
        <v>7.38</v>
      </c>
      <c r="N42" s="13">
        <v>0.74</v>
      </c>
      <c r="O42" s="13">
        <v>0</v>
      </c>
      <c r="T42" s="172"/>
      <c r="U42" s="13">
        <v>451.1</v>
      </c>
      <c r="V42" s="13">
        <v>12.31</v>
      </c>
      <c r="W42" s="13">
        <v>1.0900000000000001</v>
      </c>
      <c r="X42" s="13">
        <v>0</v>
      </c>
    </row>
    <row r="43" spans="1:24" x14ac:dyDescent="0.3">
      <c r="A43" s="172" t="s">
        <v>29</v>
      </c>
      <c r="B43" s="13">
        <v>459.2</v>
      </c>
      <c r="C43" s="13">
        <v>10.24</v>
      </c>
      <c r="D43" s="13">
        <v>0.98</v>
      </c>
      <c r="E43" s="13">
        <v>0</v>
      </c>
      <c r="K43" s="172" t="s">
        <v>29</v>
      </c>
      <c r="L43" s="13">
        <v>433.6</v>
      </c>
      <c r="M43" s="13">
        <v>1.46</v>
      </c>
      <c r="N43" s="13">
        <v>0.93</v>
      </c>
      <c r="O43" s="13">
        <v>0</v>
      </c>
      <c r="T43" s="172"/>
      <c r="U43" s="13">
        <v>443.2</v>
      </c>
      <c r="V43" s="13">
        <v>6.36</v>
      </c>
      <c r="W43" s="13">
        <v>1.23</v>
      </c>
      <c r="X43" s="13">
        <v>0</v>
      </c>
    </row>
    <row r="44" spans="1:24" x14ac:dyDescent="0.3">
      <c r="A44" s="172"/>
      <c r="B44" s="13">
        <v>457</v>
      </c>
      <c r="C44" s="13">
        <v>6.95</v>
      </c>
      <c r="D44" s="13">
        <v>1.01</v>
      </c>
      <c r="E44" s="13">
        <v>0</v>
      </c>
      <c r="K44" s="172"/>
      <c r="L44" s="13">
        <v>437.4</v>
      </c>
      <c r="M44" s="13">
        <v>9</v>
      </c>
      <c r="N44" s="13">
        <v>0.97</v>
      </c>
      <c r="O44" s="13">
        <v>0</v>
      </c>
      <c r="T44" s="172"/>
      <c r="U44" s="13">
        <v>451.5</v>
      </c>
      <c r="V44" s="13">
        <v>14.41</v>
      </c>
      <c r="W44" s="13">
        <v>0.99</v>
      </c>
      <c r="X44" s="13">
        <v>0</v>
      </c>
    </row>
    <row r="45" spans="1:24" x14ac:dyDescent="0.3">
      <c r="A45" s="172"/>
      <c r="B45" s="13">
        <v>459.5</v>
      </c>
      <c r="C45" s="13">
        <v>9.14</v>
      </c>
      <c r="D45" s="13">
        <v>1.4</v>
      </c>
      <c r="E45" s="13">
        <v>0</v>
      </c>
      <c r="K45" s="172"/>
      <c r="L45" s="13">
        <v>431.5</v>
      </c>
      <c r="M45" s="13">
        <v>4.9800000000000004</v>
      </c>
      <c r="N45" s="13">
        <v>1.1399999999999999</v>
      </c>
      <c r="O45" s="13">
        <v>0</v>
      </c>
      <c r="T45" s="172"/>
      <c r="U45" s="13">
        <v>443</v>
      </c>
      <c r="V45" s="13"/>
      <c r="W45" s="13">
        <v>1.44</v>
      </c>
      <c r="X45" s="13">
        <v>0</v>
      </c>
    </row>
    <row r="46" spans="1:24" x14ac:dyDescent="0.3">
      <c r="A46" s="172"/>
      <c r="B46" s="13">
        <v>444.4</v>
      </c>
      <c r="C46" s="13">
        <v>2.93</v>
      </c>
      <c r="D46" s="13">
        <v>0.7</v>
      </c>
      <c r="E46" s="13">
        <v>0</v>
      </c>
      <c r="K46" s="172"/>
      <c r="L46" s="13">
        <v>435.5</v>
      </c>
      <c r="M46" s="13">
        <v>0.96</v>
      </c>
      <c r="N46" s="13">
        <v>1.01</v>
      </c>
      <c r="O46" s="13">
        <v>0</v>
      </c>
      <c r="T46" s="172"/>
      <c r="U46" s="13">
        <v>451.1</v>
      </c>
      <c r="V46" s="13">
        <v>4.4800000000000004</v>
      </c>
      <c r="W46" s="13">
        <v>1.34</v>
      </c>
      <c r="X46" s="13">
        <v>0</v>
      </c>
    </row>
    <row r="47" spans="1:24" x14ac:dyDescent="0.3">
      <c r="A47" s="172"/>
      <c r="B47" s="13">
        <v>446.4</v>
      </c>
      <c r="C47" s="13">
        <v>5.89</v>
      </c>
      <c r="D47" s="13">
        <v>0.89</v>
      </c>
      <c r="E47" s="13">
        <v>0</v>
      </c>
      <c r="K47" s="172"/>
      <c r="L47" s="13">
        <v>440.4</v>
      </c>
      <c r="M47" s="13">
        <v>7.78</v>
      </c>
      <c r="N47" s="13">
        <v>0.76</v>
      </c>
      <c r="O47" s="13">
        <v>0</v>
      </c>
      <c r="T47" s="172"/>
      <c r="U47" s="13">
        <v>454.3</v>
      </c>
      <c r="V47" s="13">
        <v>11.24</v>
      </c>
      <c r="W47" s="13">
        <v>0.76</v>
      </c>
      <c r="X47" s="13">
        <v>0</v>
      </c>
    </row>
    <row r="48" spans="1:24" x14ac:dyDescent="0.3">
      <c r="A48" s="172"/>
      <c r="B48" s="13">
        <v>451.9</v>
      </c>
      <c r="C48" s="13">
        <v>5.21</v>
      </c>
      <c r="D48" s="13">
        <v>0.79</v>
      </c>
      <c r="E48" s="13">
        <v>0</v>
      </c>
      <c r="K48" s="172"/>
      <c r="L48" s="13">
        <v>435.8</v>
      </c>
      <c r="M48" s="13">
        <v>4.63</v>
      </c>
      <c r="N48" s="13">
        <v>0.89</v>
      </c>
      <c r="O48" s="13">
        <v>0</v>
      </c>
      <c r="T48" s="172"/>
      <c r="U48" s="13">
        <v>435.2</v>
      </c>
      <c r="V48" s="13"/>
      <c r="W48" s="13">
        <v>1.04</v>
      </c>
      <c r="X48" s="13">
        <v>0</v>
      </c>
    </row>
    <row r="49" spans="1:24" x14ac:dyDescent="0.3">
      <c r="A49" s="172"/>
      <c r="B49" s="13">
        <v>462.5</v>
      </c>
      <c r="C49" s="13">
        <v>18.46</v>
      </c>
      <c r="D49" s="13">
        <v>1.25</v>
      </c>
      <c r="E49" s="13">
        <v>0</v>
      </c>
      <c r="K49" s="172"/>
      <c r="L49" s="13">
        <v>435.7</v>
      </c>
      <c r="M49" s="13">
        <v>5.87</v>
      </c>
      <c r="N49" s="13">
        <v>0.91</v>
      </c>
      <c r="O49" s="13">
        <v>0</v>
      </c>
      <c r="T49" s="172"/>
      <c r="U49" s="13">
        <v>448.9</v>
      </c>
      <c r="V49" s="13">
        <v>9.61</v>
      </c>
      <c r="W49" s="13">
        <v>0.79</v>
      </c>
      <c r="X49" s="13">
        <v>0</v>
      </c>
    </row>
    <row r="50" spans="1:24" x14ac:dyDescent="0.3">
      <c r="A50" s="172"/>
      <c r="B50" s="13">
        <v>447.9</v>
      </c>
      <c r="C50" s="13">
        <v>1.29</v>
      </c>
      <c r="D50" s="13">
        <v>1.1000000000000001</v>
      </c>
      <c r="E50" s="13">
        <v>0</v>
      </c>
      <c r="K50" s="172"/>
      <c r="L50" s="13">
        <v>436.9</v>
      </c>
      <c r="M50" s="13">
        <v>1.35</v>
      </c>
      <c r="N50" s="13">
        <v>0.63</v>
      </c>
      <c r="O50" s="13">
        <v>0</v>
      </c>
      <c r="T50" s="172"/>
      <c r="U50" s="13">
        <v>442.8</v>
      </c>
      <c r="V50" s="13">
        <v>8.41</v>
      </c>
      <c r="W50" s="13">
        <v>0.77</v>
      </c>
      <c r="X50" s="13">
        <v>0</v>
      </c>
    </row>
    <row r="51" spans="1:24" x14ac:dyDescent="0.3">
      <c r="A51" s="172"/>
      <c r="B51" s="13">
        <v>451.5</v>
      </c>
      <c r="C51" s="13">
        <v>6.02</v>
      </c>
      <c r="D51" s="13">
        <v>1.01</v>
      </c>
      <c r="E51" s="13">
        <v>0</v>
      </c>
      <c r="K51" s="172"/>
      <c r="L51" s="13">
        <v>439.3</v>
      </c>
      <c r="M51" s="13">
        <v>3.38</v>
      </c>
      <c r="N51" s="13">
        <v>0.78</v>
      </c>
      <c r="O51" s="13">
        <v>0</v>
      </c>
      <c r="T51" s="172"/>
      <c r="U51" s="13">
        <v>447.6</v>
      </c>
      <c r="V51" s="13">
        <v>13.71</v>
      </c>
      <c r="W51" s="13">
        <v>0.89</v>
      </c>
      <c r="X51" s="13">
        <v>0</v>
      </c>
    </row>
    <row r="52" spans="1:24" x14ac:dyDescent="0.3">
      <c r="A52" s="172"/>
      <c r="B52" s="13">
        <v>451.1</v>
      </c>
      <c r="C52" s="13">
        <v>3.26</v>
      </c>
      <c r="D52" s="13">
        <v>1.23</v>
      </c>
      <c r="E52" s="13">
        <v>0</v>
      </c>
      <c r="K52" s="172"/>
      <c r="L52" s="13">
        <v>441.5</v>
      </c>
      <c r="M52" s="13">
        <v>4.95</v>
      </c>
      <c r="N52" s="13">
        <v>0.69</v>
      </c>
      <c r="O52" s="13">
        <v>0</v>
      </c>
      <c r="T52" s="172"/>
      <c r="U52" s="13">
        <v>441.8</v>
      </c>
      <c r="V52" s="13">
        <v>9.8800000000000008</v>
      </c>
      <c r="W52" s="13">
        <v>0.53</v>
      </c>
      <c r="X52" s="13">
        <v>0</v>
      </c>
    </row>
    <row r="53" spans="1:24" x14ac:dyDescent="0.3">
      <c r="A53" s="172" t="s">
        <v>88</v>
      </c>
      <c r="B53" s="13">
        <v>450</v>
      </c>
      <c r="C53" s="13">
        <v>3.89</v>
      </c>
      <c r="D53" s="13">
        <v>1.45</v>
      </c>
      <c r="E53" s="13">
        <v>0</v>
      </c>
      <c r="K53" s="172" t="s">
        <v>88</v>
      </c>
      <c r="L53" s="13">
        <v>432.8</v>
      </c>
      <c r="M53" s="13">
        <v>7.04</v>
      </c>
      <c r="N53" s="13">
        <v>1.17</v>
      </c>
      <c r="O53" s="13">
        <v>0</v>
      </c>
      <c r="T53" s="172"/>
      <c r="U53" s="13">
        <v>439.3</v>
      </c>
      <c r="V53" s="13">
        <v>6.49</v>
      </c>
      <c r="W53" s="13">
        <v>1.1599999999999999</v>
      </c>
      <c r="X53" s="13">
        <v>0</v>
      </c>
    </row>
    <row r="54" spans="1:24" x14ac:dyDescent="0.3">
      <c r="A54" s="172"/>
      <c r="B54" s="13">
        <v>445.7</v>
      </c>
      <c r="C54" s="13">
        <v>0.28000000000000003</v>
      </c>
      <c r="D54" s="13">
        <v>1.67</v>
      </c>
      <c r="E54" s="13">
        <v>0</v>
      </c>
      <c r="K54" s="172"/>
      <c r="L54" s="13">
        <v>431.9</v>
      </c>
      <c r="M54" s="13">
        <v>3.37</v>
      </c>
      <c r="N54" s="13">
        <v>1.39</v>
      </c>
      <c r="O54" s="13">
        <v>0</v>
      </c>
      <c r="T54" s="172" t="s">
        <v>29</v>
      </c>
      <c r="U54" s="13">
        <v>440.6</v>
      </c>
      <c r="V54" s="13">
        <v>2.64</v>
      </c>
      <c r="W54" s="13">
        <v>0.82</v>
      </c>
      <c r="X54" s="13">
        <v>0</v>
      </c>
    </row>
    <row r="55" spans="1:24" x14ac:dyDescent="0.3">
      <c r="A55" s="172"/>
      <c r="B55" s="13">
        <v>446.2</v>
      </c>
      <c r="C55" s="13">
        <v>4.5199999999999996</v>
      </c>
      <c r="D55" s="13">
        <v>1.7</v>
      </c>
      <c r="E55" s="13">
        <v>0</v>
      </c>
      <c r="K55" s="172"/>
      <c r="L55" s="13">
        <v>430.2</v>
      </c>
      <c r="M55" s="13">
        <v>7.38</v>
      </c>
      <c r="N55" s="13">
        <v>1.43</v>
      </c>
      <c r="O55" s="13">
        <v>0</v>
      </c>
      <c r="T55" s="172"/>
      <c r="U55" s="13">
        <v>443.7</v>
      </c>
      <c r="V55" s="13"/>
      <c r="W55" s="13">
        <v>0.92</v>
      </c>
      <c r="X55" s="13">
        <v>0</v>
      </c>
    </row>
    <row r="56" spans="1:24" x14ac:dyDescent="0.3">
      <c r="A56" s="172"/>
      <c r="B56" s="13">
        <v>447.8</v>
      </c>
      <c r="C56" s="13">
        <v>2.84</v>
      </c>
      <c r="D56" s="13">
        <v>0.77</v>
      </c>
      <c r="E56" s="13">
        <v>0</v>
      </c>
      <c r="K56" s="172"/>
      <c r="L56" s="13">
        <v>437</v>
      </c>
      <c r="M56" s="13">
        <v>3.51</v>
      </c>
      <c r="N56" s="13">
        <v>0.8</v>
      </c>
      <c r="O56" s="13">
        <v>0</v>
      </c>
      <c r="T56" s="172"/>
      <c r="U56" s="13">
        <v>446.7</v>
      </c>
      <c r="V56" s="13">
        <v>9.59</v>
      </c>
      <c r="W56" s="13">
        <v>0.84</v>
      </c>
      <c r="X56" s="13">
        <v>0</v>
      </c>
    </row>
    <row r="57" spans="1:24" x14ac:dyDescent="0.3">
      <c r="A57" s="172"/>
      <c r="B57" s="13">
        <v>451.4</v>
      </c>
      <c r="C57" s="13">
        <v>3.68</v>
      </c>
      <c r="D57" s="13">
        <v>0.9</v>
      </c>
      <c r="E57" s="13">
        <v>0</v>
      </c>
      <c r="K57" s="172"/>
      <c r="L57" s="13">
        <v>439</v>
      </c>
      <c r="M57" s="13">
        <v>6.76</v>
      </c>
      <c r="N57" s="13">
        <v>0.81</v>
      </c>
      <c r="O57" s="13">
        <v>0</v>
      </c>
      <c r="T57" s="172"/>
      <c r="U57" s="13">
        <v>453.5</v>
      </c>
      <c r="V57" s="13"/>
      <c r="W57" s="13">
        <v>1.04</v>
      </c>
      <c r="X57" s="13">
        <v>0</v>
      </c>
    </row>
    <row r="58" spans="1:24" x14ac:dyDescent="0.3">
      <c r="A58" s="172"/>
      <c r="B58" s="13">
        <v>453.3</v>
      </c>
      <c r="C58" s="13">
        <v>6.82</v>
      </c>
      <c r="D58" s="13">
        <v>0.93</v>
      </c>
      <c r="E58" s="13">
        <v>0</v>
      </c>
      <c r="K58" s="172"/>
      <c r="L58" s="13">
        <v>438</v>
      </c>
      <c r="M58" s="13">
        <v>2.94</v>
      </c>
      <c r="N58" s="13">
        <v>0.73</v>
      </c>
      <c r="O58" s="13">
        <v>0</v>
      </c>
      <c r="T58" s="172"/>
      <c r="U58" s="13">
        <v>441.7</v>
      </c>
      <c r="V58" s="13">
        <v>7.46</v>
      </c>
      <c r="W58" s="13">
        <v>0.95</v>
      </c>
      <c r="X58" s="13">
        <v>0</v>
      </c>
    </row>
    <row r="59" spans="1:24" x14ac:dyDescent="0.3">
      <c r="A59" s="172"/>
      <c r="B59" s="13">
        <v>450.5</v>
      </c>
      <c r="C59" s="13">
        <v>5.41</v>
      </c>
      <c r="D59" s="13">
        <v>1.04</v>
      </c>
      <c r="E59" s="13">
        <v>0</v>
      </c>
      <c r="K59" s="172"/>
      <c r="L59" s="13">
        <v>432.3</v>
      </c>
      <c r="M59" s="13">
        <v>1.07</v>
      </c>
      <c r="N59" s="13">
        <v>0.86</v>
      </c>
      <c r="O59" s="13">
        <v>0</v>
      </c>
      <c r="T59" s="172"/>
      <c r="U59" s="13">
        <v>453.9</v>
      </c>
      <c r="V59" s="13">
        <v>2.68</v>
      </c>
      <c r="W59" s="13">
        <v>0.79</v>
      </c>
      <c r="X59" s="13">
        <v>0</v>
      </c>
    </row>
    <row r="60" spans="1:24" x14ac:dyDescent="0.3">
      <c r="A60" s="172"/>
      <c r="B60" s="13">
        <v>452.5</v>
      </c>
      <c r="C60" s="13">
        <v>6.52</v>
      </c>
      <c r="D60" s="13">
        <v>1.1200000000000001</v>
      </c>
      <c r="E60" s="13">
        <v>0</v>
      </c>
      <c r="K60" s="172"/>
      <c r="L60" s="13">
        <v>435.3</v>
      </c>
      <c r="M60" s="13">
        <v>5.5</v>
      </c>
      <c r="N60" s="13">
        <v>0.95</v>
      </c>
      <c r="O60" s="13">
        <v>0</v>
      </c>
      <c r="T60" s="172"/>
      <c r="U60" s="13">
        <v>459.6</v>
      </c>
      <c r="V60" s="13"/>
      <c r="W60" s="13">
        <v>1.1399999999999999</v>
      </c>
      <c r="X60" s="13">
        <v>0</v>
      </c>
    </row>
    <row r="61" spans="1:24" x14ac:dyDescent="0.3">
      <c r="A61" s="172"/>
      <c r="B61" s="13">
        <v>450</v>
      </c>
      <c r="C61" s="13">
        <v>2.71</v>
      </c>
      <c r="D61" s="13">
        <v>1.1100000000000001</v>
      </c>
      <c r="E61" s="13">
        <v>0</v>
      </c>
      <c r="K61" s="172"/>
      <c r="L61" s="13">
        <v>434.7</v>
      </c>
      <c r="M61" s="13">
        <v>5.13</v>
      </c>
      <c r="N61" s="13">
        <v>1.08</v>
      </c>
      <c r="O61" s="13">
        <v>0</v>
      </c>
      <c r="T61" s="172"/>
      <c r="U61" s="13">
        <v>459.5</v>
      </c>
      <c r="V61" s="13">
        <v>8.81</v>
      </c>
      <c r="W61" s="13">
        <v>0.85</v>
      </c>
      <c r="X61" s="13">
        <v>0</v>
      </c>
    </row>
    <row r="62" spans="1:24" x14ac:dyDescent="0.3">
      <c r="A62" s="172" t="s">
        <v>30</v>
      </c>
      <c r="B62" s="13">
        <v>448.1</v>
      </c>
      <c r="C62" s="13">
        <v>5.13</v>
      </c>
      <c r="D62" s="13">
        <v>0.76</v>
      </c>
      <c r="E62" s="13">
        <v>0</v>
      </c>
      <c r="K62" s="172" t="s">
        <v>30</v>
      </c>
      <c r="L62" s="13">
        <v>428.8</v>
      </c>
      <c r="M62" s="13">
        <v>4.2300000000000004</v>
      </c>
      <c r="N62" s="13">
        <v>1.04</v>
      </c>
      <c r="O62" s="13">
        <v>0</v>
      </c>
      <c r="T62" s="172"/>
      <c r="U62" s="13">
        <v>458.9</v>
      </c>
      <c r="V62" s="13">
        <v>10.69</v>
      </c>
      <c r="W62" s="13">
        <v>0.61</v>
      </c>
      <c r="X62" s="13">
        <v>0</v>
      </c>
    </row>
    <row r="63" spans="1:24" x14ac:dyDescent="0.3">
      <c r="A63" s="172"/>
      <c r="B63" s="13">
        <v>450</v>
      </c>
      <c r="C63" s="13">
        <v>5.28</v>
      </c>
      <c r="D63" s="13">
        <v>0.97</v>
      </c>
      <c r="E63" s="13">
        <v>0</v>
      </c>
      <c r="K63" s="172"/>
      <c r="L63" s="13">
        <v>429.8</v>
      </c>
      <c r="M63" s="13">
        <v>4.21</v>
      </c>
      <c r="N63" s="13">
        <v>1.02</v>
      </c>
      <c r="O63" s="13">
        <v>0</v>
      </c>
      <c r="T63" s="172"/>
      <c r="U63" s="13">
        <v>470.6</v>
      </c>
      <c r="V63" s="13">
        <v>16.510000000000002</v>
      </c>
      <c r="W63" s="13">
        <v>0.8</v>
      </c>
      <c r="X63" s="13">
        <v>0</v>
      </c>
    </row>
    <row r="64" spans="1:24" x14ac:dyDescent="0.3">
      <c r="A64" s="172"/>
      <c r="B64" s="13">
        <v>449.1</v>
      </c>
      <c r="C64" s="13">
        <v>6.76</v>
      </c>
      <c r="D64" s="13">
        <v>0.89</v>
      </c>
      <c r="E64" s="13">
        <v>0</v>
      </c>
      <c r="K64" s="172"/>
      <c r="L64" s="13">
        <v>431.6</v>
      </c>
      <c r="M64" s="13">
        <v>6.57</v>
      </c>
      <c r="N64" s="13">
        <v>1.26</v>
      </c>
      <c r="O64" s="13">
        <v>0</v>
      </c>
      <c r="T64" s="172"/>
      <c r="U64" s="13">
        <v>451.4</v>
      </c>
      <c r="V64" s="13">
        <v>4.6100000000000003</v>
      </c>
      <c r="W64" s="13">
        <v>0.59</v>
      </c>
      <c r="X64" s="13">
        <v>0</v>
      </c>
    </row>
    <row r="65" spans="1:24" x14ac:dyDescent="0.3">
      <c r="A65" s="172"/>
      <c r="B65" s="13">
        <v>452.8</v>
      </c>
      <c r="C65" s="13">
        <v>5.03</v>
      </c>
      <c r="D65" s="13">
        <v>0.99</v>
      </c>
      <c r="E65" s="13">
        <v>0</v>
      </c>
      <c r="K65" s="172"/>
      <c r="L65" s="13">
        <v>442.1</v>
      </c>
      <c r="M65" s="13">
        <v>8.08</v>
      </c>
      <c r="N65" s="13">
        <v>0.33</v>
      </c>
      <c r="O65" s="13">
        <v>0</v>
      </c>
      <c r="T65" s="172"/>
      <c r="U65" s="13">
        <v>453.6</v>
      </c>
      <c r="V65" s="13">
        <v>6</v>
      </c>
      <c r="W65" s="13">
        <v>0.86</v>
      </c>
      <c r="X65" s="13">
        <v>0</v>
      </c>
    </row>
    <row r="66" spans="1:24" x14ac:dyDescent="0.3">
      <c r="A66" s="172"/>
      <c r="B66" s="13">
        <v>462.4</v>
      </c>
      <c r="C66" s="13">
        <v>11.55</v>
      </c>
      <c r="D66" s="13">
        <v>1.05</v>
      </c>
      <c r="E66" s="13">
        <v>0</v>
      </c>
      <c r="K66" s="172"/>
      <c r="L66" s="13">
        <v>437.7</v>
      </c>
      <c r="M66" s="13">
        <v>4.87</v>
      </c>
      <c r="N66" s="13">
        <v>0.64</v>
      </c>
      <c r="O66" s="13">
        <v>0</v>
      </c>
      <c r="T66" s="172"/>
      <c r="U66" s="13">
        <v>453.9</v>
      </c>
      <c r="V66" s="13">
        <v>9.7799999999999994</v>
      </c>
      <c r="W66" s="13">
        <v>0.7</v>
      </c>
      <c r="X66" s="13">
        <v>0</v>
      </c>
    </row>
    <row r="67" spans="1:24" x14ac:dyDescent="0.3">
      <c r="A67" s="172"/>
      <c r="B67" s="13">
        <v>451.3</v>
      </c>
      <c r="C67" s="13"/>
      <c r="D67" s="13">
        <v>0.71</v>
      </c>
      <c r="E67" s="13">
        <v>0</v>
      </c>
      <c r="K67" s="172"/>
      <c r="L67" s="13">
        <v>437.3</v>
      </c>
      <c r="M67" s="13">
        <v>3.92</v>
      </c>
      <c r="N67" s="13">
        <v>0.93</v>
      </c>
      <c r="O67" s="13">
        <v>0</v>
      </c>
      <c r="T67" s="172"/>
      <c r="U67" s="13">
        <v>459.2</v>
      </c>
      <c r="V67" s="13">
        <v>13.09</v>
      </c>
      <c r="W67" s="13">
        <v>0.65</v>
      </c>
      <c r="X67" s="13">
        <v>0</v>
      </c>
    </row>
    <row r="68" spans="1:24" x14ac:dyDescent="0.3">
      <c r="A68" s="172"/>
      <c r="B68" s="13">
        <v>447.6</v>
      </c>
      <c r="C68" s="13">
        <v>8.57</v>
      </c>
      <c r="D68" s="13">
        <v>1.21</v>
      </c>
      <c r="E68" s="13">
        <v>0</v>
      </c>
      <c r="K68" s="172"/>
      <c r="L68" s="13">
        <v>436</v>
      </c>
      <c r="M68" s="13">
        <v>2.9</v>
      </c>
      <c r="N68" s="13">
        <v>0.69</v>
      </c>
      <c r="O68" s="13">
        <v>0</v>
      </c>
      <c r="T68" s="172" t="s">
        <v>88</v>
      </c>
      <c r="U68" s="13">
        <v>439.1</v>
      </c>
      <c r="V68" s="13">
        <v>5.19</v>
      </c>
      <c r="W68" s="13">
        <v>1.07</v>
      </c>
      <c r="X68" s="13">
        <v>0</v>
      </c>
    </row>
    <row r="69" spans="1:24" x14ac:dyDescent="0.3">
      <c r="A69" s="172"/>
      <c r="B69" s="13">
        <v>449.7</v>
      </c>
      <c r="C69" s="13">
        <v>9.32</v>
      </c>
      <c r="D69" s="13">
        <v>1.18</v>
      </c>
      <c r="E69" s="13">
        <v>0</v>
      </c>
      <c r="K69" s="172"/>
      <c r="L69" s="13">
        <v>436.9</v>
      </c>
      <c r="M69" s="13">
        <v>6.03</v>
      </c>
      <c r="N69" s="13">
        <v>0.86</v>
      </c>
      <c r="O69" s="13">
        <v>0</v>
      </c>
      <c r="T69" s="172"/>
      <c r="U69" s="13">
        <v>443.2</v>
      </c>
      <c r="V69" s="13">
        <v>6.93</v>
      </c>
      <c r="W69" s="13">
        <v>1.21</v>
      </c>
      <c r="X69" s="13">
        <v>0</v>
      </c>
    </row>
    <row r="70" spans="1:24" x14ac:dyDescent="0.3">
      <c r="A70" s="172"/>
      <c r="B70" s="13">
        <v>449.1</v>
      </c>
      <c r="C70" s="13">
        <v>6.25</v>
      </c>
      <c r="D70" s="13">
        <v>1.1599999999999999</v>
      </c>
      <c r="E70" s="13">
        <v>0</v>
      </c>
      <c r="K70" s="172"/>
      <c r="L70" s="13">
        <v>436</v>
      </c>
      <c r="M70" s="13">
        <v>4.97</v>
      </c>
      <c r="N70" s="13">
        <v>0.97</v>
      </c>
      <c r="O70" s="13">
        <v>0</v>
      </c>
      <c r="T70" s="172"/>
      <c r="U70" s="13">
        <v>445.1</v>
      </c>
      <c r="V70" s="13">
        <v>6.41</v>
      </c>
      <c r="W70" s="13">
        <v>0.96</v>
      </c>
      <c r="X70" s="13">
        <v>0</v>
      </c>
    </row>
    <row r="71" spans="1:24" x14ac:dyDescent="0.3">
      <c r="A71" s="172"/>
      <c r="B71" s="13">
        <v>447.7</v>
      </c>
      <c r="C71" s="13">
        <v>11.92</v>
      </c>
      <c r="D71" s="13">
        <v>0.8</v>
      </c>
      <c r="E71" s="13">
        <v>0</v>
      </c>
      <c r="K71" s="173" t="s">
        <v>89</v>
      </c>
      <c r="L71" s="13">
        <v>433</v>
      </c>
      <c r="M71" s="13">
        <v>7.4</v>
      </c>
      <c r="N71" s="13">
        <v>1.1299999999999999</v>
      </c>
      <c r="O71" s="13">
        <v>0</v>
      </c>
      <c r="T71" s="172"/>
      <c r="U71" s="13">
        <v>452.1</v>
      </c>
      <c r="V71" s="13">
        <v>12.09</v>
      </c>
      <c r="W71" s="13">
        <v>1.1499999999999999</v>
      </c>
      <c r="X71" s="13">
        <v>0</v>
      </c>
    </row>
    <row r="72" spans="1:24" x14ac:dyDescent="0.3">
      <c r="A72" s="172" t="s">
        <v>89</v>
      </c>
      <c r="B72" s="13">
        <v>454.2</v>
      </c>
      <c r="C72" s="13">
        <v>1.89</v>
      </c>
      <c r="D72" s="13">
        <v>0.92</v>
      </c>
      <c r="E72" s="13">
        <v>0</v>
      </c>
      <c r="K72" s="173"/>
      <c r="L72" s="13">
        <v>428.9</v>
      </c>
      <c r="M72" s="13">
        <v>4.0999999999999996</v>
      </c>
      <c r="N72" s="13">
        <v>1.1200000000000001</v>
      </c>
      <c r="O72" s="13">
        <v>0</v>
      </c>
      <c r="T72" s="172"/>
      <c r="U72" s="13">
        <v>443.3</v>
      </c>
      <c r="V72" s="13">
        <v>6.75</v>
      </c>
      <c r="W72" s="13">
        <v>1.1200000000000001</v>
      </c>
      <c r="X72" s="13">
        <v>0</v>
      </c>
    </row>
    <row r="73" spans="1:24" x14ac:dyDescent="0.3">
      <c r="A73" s="172"/>
      <c r="B73" s="13">
        <v>453.3</v>
      </c>
      <c r="C73" s="13">
        <v>3.13</v>
      </c>
      <c r="D73" s="13">
        <v>0.88</v>
      </c>
      <c r="E73" s="13">
        <v>0</v>
      </c>
      <c r="K73" s="173"/>
      <c r="L73" s="13">
        <v>433.4</v>
      </c>
      <c r="M73" s="13">
        <v>11.44</v>
      </c>
      <c r="N73" s="13">
        <v>1.1499999999999999</v>
      </c>
      <c r="O73" s="13">
        <v>0</v>
      </c>
      <c r="T73" s="172"/>
      <c r="U73" s="13">
        <v>453.4</v>
      </c>
      <c r="V73" s="13">
        <v>5.66</v>
      </c>
      <c r="W73" s="13">
        <v>0.92</v>
      </c>
      <c r="X73" s="13">
        <v>0</v>
      </c>
    </row>
    <row r="74" spans="1:24" x14ac:dyDescent="0.3">
      <c r="A74" s="172"/>
      <c r="B74" s="13">
        <v>455</v>
      </c>
      <c r="C74" s="13">
        <v>8.9499999999999993</v>
      </c>
      <c r="D74" s="13">
        <v>1.1299999999999999</v>
      </c>
      <c r="E74" s="13">
        <v>0</v>
      </c>
      <c r="K74" s="173"/>
      <c r="L74" s="13">
        <v>436.2</v>
      </c>
      <c r="M74" s="13">
        <v>4.5</v>
      </c>
      <c r="N74" s="13">
        <v>0.76</v>
      </c>
      <c r="O74" s="13">
        <v>0</v>
      </c>
      <c r="T74" s="172"/>
      <c r="U74" s="13">
        <v>463.1</v>
      </c>
      <c r="V74" s="13">
        <v>13.99</v>
      </c>
      <c r="W74" s="13">
        <v>0.97</v>
      </c>
      <c r="X74" s="13">
        <v>0</v>
      </c>
    </row>
    <row r="75" spans="1:24" x14ac:dyDescent="0.3">
      <c r="A75" s="172"/>
      <c r="B75" s="13">
        <v>448.1</v>
      </c>
      <c r="C75" s="13">
        <v>6.67</v>
      </c>
      <c r="D75" s="13">
        <v>0.87</v>
      </c>
      <c r="E75" s="13">
        <v>0</v>
      </c>
      <c r="K75" s="173"/>
      <c r="L75" s="13">
        <v>436.5</v>
      </c>
      <c r="M75" s="13">
        <v>4.53</v>
      </c>
      <c r="N75" s="13">
        <v>0.91</v>
      </c>
      <c r="O75" s="13">
        <v>0</v>
      </c>
      <c r="T75" s="172"/>
      <c r="U75" s="13">
        <v>454.3</v>
      </c>
      <c r="V75" s="13">
        <v>4.97</v>
      </c>
      <c r="W75" s="13">
        <v>0.93</v>
      </c>
      <c r="X75" s="13">
        <v>0</v>
      </c>
    </row>
    <row r="76" spans="1:24" x14ac:dyDescent="0.3">
      <c r="A76" s="172"/>
      <c r="B76" s="13">
        <v>449.1</v>
      </c>
      <c r="C76" s="13">
        <v>4.29</v>
      </c>
      <c r="D76" s="13">
        <v>1.1100000000000001</v>
      </c>
      <c r="E76" s="13">
        <v>0</v>
      </c>
      <c r="K76" s="173"/>
      <c r="L76" s="13">
        <v>438.2</v>
      </c>
      <c r="M76" s="13">
        <v>6.62</v>
      </c>
      <c r="N76" s="13">
        <v>0.84</v>
      </c>
      <c r="O76" s="13">
        <v>0</v>
      </c>
      <c r="T76" s="172"/>
      <c r="U76" s="13">
        <v>457.9</v>
      </c>
      <c r="V76" s="13">
        <v>11.46</v>
      </c>
      <c r="W76" s="13">
        <v>0.83</v>
      </c>
      <c r="X76" s="13">
        <v>0</v>
      </c>
    </row>
    <row r="77" spans="1:24" x14ac:dyDescent="0.3">
      <c r="A77" s="172"/>
      <c r="B77" s="13">
        <v>450.7</v>
      </c>
      <c r="C77" s="13">
        <v>5.47</v>
      </c>
      <c r="D77" s="13">
        <v>1.22</v>
      </c>
      <c r="E77" s="13">
        <v>0</v>
      </c>
      <c r="K77" s="173"/>
      <c r="L77" s="13">
        <v>437.4</v>
      </c>
      <c r="M77" s="13">
        <v>5.16</v>
      </c>
      <c r="N77" s="13">
        <v>0.7</v>
      </c>
      <c r="O77" s="13">
        <v>0</v>
      </c>
      <c r="T77" s="172"/>
      <c r="U77" s="13">
        <v>451.7</v>
      </c>
      <c r="V77" s="13">
        <v>0.08</v>
      </c>
      <c r="W77" s="13">
        <v>0.64</v>
      </c>
      <c r="X77" s="13">
        <v>0</v>
      </c>
    </row>
    <row r="78" spans="1:24" x14ac:dyDescent="0.3">
      <c r="A78" s="172"/>
      <c r="B78" s="13">
        <v>441.8</v>
      </c>
      <c r="C78" s="13">
        <v>5.59</v>
      </c>
      <c r="D78" s="13">
        <v>1.1200000000000001</v>
      </c>
      <c r="E78" s="13">
        <v>0</v>
      </c>
      <c r="K78" s="173"/>
      <c r="L78" s="13">
        <v>438.8</v>
      </c>
      <c r="M78" s="13">
        <v>6.74</v>
      </c>
      <c r="N78" s="13">
        <v>0.84</v>
      </c>
      <c r="O78" s="13">
        <v>0</v>
      </c>
      <c r="T78" s="172"/>
      <c r="U78" s="13">
        <v>454.5</v>
      </c>
      <c r="V78" s="13">
        <v>4.8099999999999996</v>
      </c>
      <c r="W78" s="13">
        <v>0.62</v>
      </c>
      <c r="X78" s="13">
        <v>0</v>
      </c>
    </row>
    <row r="79" spans="1:24" x14ac:dyDescent="0.3">
      <c r="A79" s="172"/>
      <c r="B79" s="13">
        <v>443.5</v>
      </c>
      <c r="C79" s="13">
        <v>7.11</v>
      </c>
      <c r="D79" s="13">
        <v>1.19</v>
      </c>
      <c r="E79" s="13">
        <v>0</v>
      </c>
      <c r="K79" s="173"/>
      <c r="L79" s="13">
        <v>436.6</v>
      </c>
      <c r="M79" s="13">
        <v>4.97</v>
      </c>
      <c r="N79" s="13">
        <v>0.89</v>
      </c>
      <c r="O79" s="13">
        <v>0</v>
      </c>
      <c r="T79" s="172"/>
      <c r="U79" s="13">
        <v>454.5</v>
      </c>
      <c r="V79" s="13">
        <v>8.1999999999999993</v>
      </c>
      <c r="W79" s="13">
        <v>0.96</v>
      </c>
      <c r="X79" s="13">
        <v>0</v>
      </c>
    </row>
    <row r="80" spans="1:24" x14ac:dyDescent="0.3">
      <c r="A80" s="172"/>
      <c r="B80" s="13">
        <v>443.7</v>
      </c>
      <c r="C80" s="13">
        <v>9.5</v>
      </c>
      <c r="D80" s="13">
        <v>1.25</v>
      </c>
      <c r="E80" s="13">
        <v>0</v>
      </c>
      <c r="K80" s="173"/>
      <c r="L80" s="13">
        <v>436.6</v>
      </c>
      <c r="M80" s="13">
        <v>6.11</v>
      </c>
      <c r="N80" s="13">
        <v>0.99</v>
      </c>
      <c r="O80" s="13">
        <v>0</v>
      </c>
      <c r="T80" s="172"/>
      <c r="U80" s="13">
        <v>453.2</v>
      </c>
      <c r="V80" s="13">
        <v>5.12</v>
      </c>
      <c r="W80" s="13">
        <v>0.86</v>
      </c>
      <c r="X80" s="13">
        <v>0</v>
      </c>
    </row>
    <row r="81" spans="1:24" x14ac:dyDescent="0.3">
      <c r="A81" s="172" t="s">
        <v>31</v>
      </c>
      <c r="B81" s="13">
        <v>442.9</v>
      </c>
      <c r="C81" s="13">
        <v>2.64</v>
      </c>
      <c r="D81" s="13">
        <v>0.63</v>
      </c>
      <c r="E81" s="13">
        <v>0</v>
      </c>
      <c r="K81" s="172" t="s">
        <v>31</v>
      </c>
      <c r="L81" s="13">
        <v>435.8</v>
      </c>
      <c r="M81" s="13">
        <v>2.84</v>
      </c>
      <c r="N81" s="13">
        <v>0.62</v>
      </c>
      <c r="O81" s="13">
        <v>0</v>
      </c>
      <c r="T81" s="172"/>
      <c r="U81" s="13">
        <v>454.4</v>
      </c>
      <c r="V81" s="13">
        <v>9.86</v>
      </c>
      <c r="W81" s="13">
        <v>0.89</v>
      </c>
      <c r="X81" s="13">
        <v>0</v>
      </c>
    </row>
    <row r="82" spans="1:24" x14ac:dyDescent="0.3">
      <c r="A82" s="172"/>
      <c r="B82" s="13">
        <v>447.2</v>
      </c>
      <c r="C82" s="13">
        <v>5.85</v>
      </c>
      <c r="D82" s="13">
        <v>0.73</v>
      </c>
      <c r="E82" s="13">
        <v>0</v>
      </c>
      <c r="K82" s="172"/>
      <c r="L82" s="13">
        <v>436.7</v>
      </c>
      <c r="M82" s="13">
        <v>4.22</v>
      </c>
      <c r="N82" s="13">
        <v>0.65</v>
      </c>
      <c r="O82" s="13">
        <v>0</v>
      </c>
      <c r="T82" s="172" t="s">
        <v>30</v>
      </c>
      <c r="U82" s="13">
        <v>448.2</v>
      </c>
      <c r="V82" s="13">
        <v>4.28</v>
      </c>
      <c r="W82" s="13">
        <v>0.51</v>
      </c>
      <c r="X82" s="13">
        <v>0</v>
      </c>
    </row>
    <row r="83" spans="1:24" x14ac:dyDescent="0.3">
      <c r="A83" s="172"/>
      <c r="B83" s="13">
        <v>447.2</v>
      </c>
      <c r="C83" s="13">
        <v>5.39</v>
      </c>
      <c r="D83" s="13">
        <v>0.79</v>
      </c>
      <c r="E83" s="13">
        <v>0</v>
      </c>
      <c r="K83" s="172"/>
      <c r="L83" s="13">
        <v>439.7</v>
      </c>
      <c r="M83" s="13">
        <v>4.4000000000000004</v>
      </c>
      <c r="N83" s="13">
        <v>0.67</v>
      </c>
      <c r="O83" s="13">
        <v>0</v>
      </c>
      <c r="T83" s="172"/>
      <c r="U83" s="13">
        <v>447.3</v>
      </c>
      <c r="V83" s="13">
        <v>0.04</v>
      </c>
      <c r="W83" s="13">
        <v>0.79</v>
      </c>
      <c r="X83" s="13">
        <v>0</v>
      </c>
    </row>
    <row r="84" spans="1:24" x14ac:dyDescent="0.3">
      <c r="A84" s="172"/>
      <c r="B84" s="13">
        <v>442.9</v>
      </c>
      <c r="C84" s="13"/>
      <c r="D84" s="13">
        <v>0.23</v>
      </c>
      <c r="E84" s="13">
        <v>0</v>
      </c>
      <c r="K84" s="172" t="s">
        <v>90</v>
      </c>
      <c r="L84" s="13">
        <v>437.7</v>
      </c>
      <c r="M84" s="13">
        <v>3.95</v>
      </c>
      <c r="N84" s="13">
        <v>0.54</v>
      </c>
      <c r="O84" s="13">
        <v>0</v>
      </c>
      <c r="T84" s="172"/>
      <c r="U84" s="13">
        <v>449.4</v>
      </c>
      <c r="V84" s="13">
        <v>4.7</v>
      </c>
      <c r="W84" s="13">
        <v>0.81</v>
      </c>
      <c r="X84" s="13">
        <v>0</v>
      </c>
    </row>
    <row r="85" spans="1:24" x14ac:dyDescent="0.3">
      <c r="A85" s="172"/>
      <c r="B85" s="13">
        <v>446</v>
      </c>
      <c r="C85" s="13">
        <v>4.3</v>
      </c>
      <c r="D85" s="13">
        <v>0.76</v>
      </c>
      <c r="E85" s="13">
        <v>0</v>
      </c>
      <c r="K85" s="172"/>
      <c r="L85" s="13">
        <v>443.3</v>
      </c>
      <c r="M85" s="13">
        <v>6.3</v>
      </c>
      <c r="N85" s="13">
        <v>0.75</v>
      </c>
      <c r="O85" s="13">
        <v>0</v>
      </c>
      <c r="T85" s="172"/>
      <c r="U85" s="13">
        <v>447.1</v>
      </c>
      <c r="V85" s="13">
        <v>5.95</v>
      </c>
      <c r="W85" s="13">
        <v>0.95</v>
      </c>
      <c r="X85" s="13">
        <v>0</v>
      </c>
    </row>
    <row r="86" spans="1:24" x14ac:dyDescent="0.3">
      <c r="A86" s="172"/>
      <c r="B86" s="13">
        <v>447.4</v>
      </c>
      <c r="C86" s="13">
        <v>5.82</v>
      </c>
      <c r="D86" s="13">
        <v>0.61</v>
      </c>
      <c r="E86" s="13">
        <v>0</v>
      </c>
      <c r="K86" s="172"/>
      <c r="L86" s="13">
        <v>441.2</v>
      </c>
      <c r="M86" s="13">
        <v>3.35</v>
      </c>
      <c r="N86" s="13">
        <v>0.73</v>
      </c>
      <c r="O86" s="13">
        <v>0</v>
      </c>
      <c r="T86" s="172"/>
      <c r="U86" s="13">
        <v>442.3</v>
      </c>
      <c r="V86" s="13">
        <v>0.93</v>
      </c>
      <c r="W86" s="13">
        <v>1.17</v>
      </c>
      <c r="X86" s="13">
        <v>0</v>
      </c>
    </row>
    <row r="87" spans="1:24" x14ac:dyDescent="0.3">
      <c r="A87" s="172"/>
      <c r="B87" s="13">
        <v>447</v>
      </c>
      <c r="C87" s="13">
        <v>7.1</v>
      </c>
      <c r="D87" s="13">
        <v>0.64</v>
      </c>
      <c r="E87" s="13">
        <v>0</v>
      </c>
      <c r="K87" s="172" t="s">
        <v>32</v>
      </c>
      <c r="L87" s="13">
        <v>441.2</v>
      </c>
      <c r="M87" s="13">
        <v>5.75</v>
      </c>
      <c r="N87" s="13">
        <v>0.73</v>
      </c>
      <c r="O87" s="13">
        <v>0</v>
      </c>
      <c r="T87" s="172"/>
      <c r="U87" s="13">
        <v>445</v>
      </c>
      <c r="V87" s="13">
        <v>5.32</v>
      </c>
      <c r="W87" s="13">
        <v>0.81</v>
      </c>
      <c r="X87" s="13">
        <v>0</v>
      </c>
    </row>
    <row r="88" spans="1:24" x14ac:dyDescent="0.3">
      <c r="A88" s="172" t="s">
        <v>90</v>
      </c>
      <c r="B88" s="13">
        <v>447</v>
      </c>
      <c r="C88" s="13">
        <v>5.83</v>
      </c>
      <c r="D88" s="13">
        <v>0.82</v>
      </c>
      <c r="E88" s="13">
        <v>0</v>
      </c>
      <c r="K88" s="172"/>
      <c r="L88" s="13">
        <v>440.3</v>
      </c>
      <c r="M88" s="13">
        <v>3.89</v>
      </c>
      <c r="N88" s="13">
        <v>0.67</v>
      </c>
      <c r="O88" s="13">
        <v>0</v>
      </c>
      <c r="T88" s="172"/>
      <c r="U88" s="13">
        <v>445.7</v>
      </c>
      <c r="V88" s="13">
        <v>5.16</v>
      </c>
      <c r="W88" s="13">
        <v>1.1100000000000001</v>
      </c>
      <c r="X88" s="13">
        <v>0</v>
      </c>
    </row>
    <row r="89" spans="1:24" x14ac:dyDescent="0.3">
      <c r="A89" s="172"/>
      <c r="B89" s="13">
        <v>448.3</v>
      </c>
      <c r="C89" s="13">
        <v>9.73</v>
      </c>
      <c r="D89" s="13">
        <v>0.95</v>
      </c>
      <c r="E89" s="13">
        <v>0</v>
      </c>
      <c r="K89" s="172"/>
      <c r="L89" s="13">
        <v>444.2</v>
      </c>
      <c r="M89" s="13">
        <v>7.24</v>
      </c>
      <c r="N89" s="13">
        <v>0.62</v>
      </c>
      <c r="O89" s="13">
        <v>0</v>
      </c>
      <c r="T89" s="172"/>
      <c r="U89" s="13">
        <v>445.1</v>
      </c>
      <c r="V89" s="13">
        <v>5.34</v>
      </c>
      <c r="W89" s="13">
        <v>1.1100000000000001</v>
      </c>
      <c r="X89" s="13">
        <v>0</v>
      </c>
    </row>
    <row r="90" spans="1:24" x14ac:dyDescent="0.3">
      <c r="A90" s="172"/>
      <c r="B90" s="13">
        <v>446</v>
      </c>
      <c r="C90" s="13">
        <v>9.32</v>
      </c>
      <c r="D90" s="13">
        <v>1.1200000000000001</v>
      </c>
      <c r="E90" s="13">
        <v>0</v>
      </c>
      <c r="K90" s="173" t="s">
        <v>91</v>
      </c>
      <c r="L90" s="13">
        <v>441</v>
      </c>
      <c r="M90" s="13">
        <v>5.16</v>
      </c>
      <c r="N90" s="13">
        <v>0.67</v>
      </c>
      <c r="O90" s="13">
        <v>0</v>
      </c>
      <c r="T90" s="172"/>
      <c r="U90" s="13">
        <v>443</v>
      </c>
      <c r="V90" s="13">
        <v>5.83</v>
      </c>
      <c r="W90" s="13">
        <v>0.86</v>
      </c>
      <c r="X90" s="13">
        <v>0</v>
      </c>
    </row>
    <row r="91" spans="1:24" x14ac:dyDescent="0.3">
      <c r="A91" s="172"/>
      <c r="B91" s="13">
        <v>446.9</v>
      </c>
      <c r="C91" s="13"/>
      <c r="D91" s="13">
        <v>0.76</v>
      </c>
      <c r="E91" s="13">
        <v>0</v>
      </c>
      <c r="K91" s="173"/>
      <c r="L91" s="13">
        <v>441.8</v>
      </c>
      <c r="M91" s="13">
        <v>3.51</v>
      </c>
      <c r="N91" s="13">
        <v>0.74</v>
      </c>
      <c r="O91" s="13">
        <v>0</v>
      </c>
      <c r="T91" s="172"/>
      <c r="U91" s="13">
        <v>443.8</v>
      </c>
      <c r="V91" s="13">
        <v>0.81</v>
      </c>
      <c r="W91" s="13">
        <v>1.47</v>
      </c>
      <c r="X91" s="13">
        <v>0</v>
      </c>
    </row>
    <row r="92" spans="1:24" x14ac:dyDescent="0.3">
      <c r="A92" s="172"/>
      <c r="B92" s="13">
        <v>445.2</v>
      </c>
      <c r="C92" s="13">
        <v>3.78</v>
      </c>
      <c r="D92" s="13">
        <v>0.99</v>
      </c>
      <c r="E92" s="13">
        <v>0</v>
      </c>
      <c r="K92" s="173"/>
      <c r="L92" s="13">
        <v>446.1</v>
      </c>
      <c r="M92" s="13">
        <v>10.16</v>
      </c>
      <c r="N92" s="13">
        <v>0.51</v>
      </c>
      <c r="O92" s="13">
        <v>0</v>
      </c>
      <c r="T92" s="172"/>
      <c r="U92" s="13">
        <v>452.3</v>
      </c>
      <c r="V92" s="13">
        <v>14.14</v>
      </c>
      <c r="W92" s="13">
        <v>0.91</v>
      </c>
      <c r="X92" s="13">
        <v>0</v>
      </c>
    </row>
    <row r="93" spans="1:24" x14ac:dyDescent="0.3">
      <c r="A93" s="172"/>
      <c r="B93" s="13">
        <v>448.5</v>
      </c>
      <c r="C93" s="13">
        <v>7.83</v>
      </c>
      <c r="D93" s="13">
        <v>0.62</v>
      </c>
      <c r="E93" s="13">
        <v>0</v>
      </c>
      <c r="T93" s="172"/>
      <c r="U93" s="13">
        <v>441.2</v>
      </c>
      <c r="V93" s="13">
        <v>1.97</v>
      </c>
      <c r="W93" s="13">
        <v>1.33</v>
      </c>
      <c r="X93" s="13">
        <v>0</v>
      </c>
    </row>
    <row r="94" spans="1:24" x14ac:dyDescent="0.3">
      <c r="A94" s="172"/>
      <c r="B94" s="13">
        <v>457.6</v>
      </c>
      <c r="C94" s="13">
        <v>18.66</v>
      </c>
      <c r="D94" s="13">
        <v>0.97</v>
      </c>
      <c r="E94" s="13">
        <v>0</v>
      </c>
      <c r="T94" s="172"/>
      <c r="U94" s="13">
        <v>442.4</v>
      </c>
      <c r="V94" s="13">
        <v>12.36</v>
      </c>
      <c r="W94" s="13">
        <v>1.43</v>
      </c>
      <c r="X94" s="13">
        <v>0</v>
      </c>
    </row>
    <row r="95" spans="1:24" x14ac:dyDescent="0.3">
      <c r="A95" s="172" t="s">
        <v>32</v>
      </c>
      <c r="B95" s="13">
        <v>454.7</v>
      </c>
      <c r="C95" s="13">
        <v>3.73</v>
      </c>
      <c r="D95" s="13">
        <v>0.94</v>
      </c>
      <c r="E95" s="13">
        <v>0</v>
      </c>
      <c r="T95" s="172" t="s">
        <v>89</v>
      </c>
      <c r="U95" s="13">
        <v>444</v>
      </c>
      <c r="V95" s="13">
        <v>2.64</v>
      </c>
      <c r="W95" s="13">
        <v>0.77</v>
      </c>
      <c r="X95" s="13">
        <v>0</v>
      </c>
    </row>
    <row r="96" spans="1:24" x14ac:dyDescent="0.3">
      <c r="A96" s="172"/>
      <c r="B96" s="13">
        <v>456.6</v>
      </c>
      <c r="C96" s="13">
        <v>7.41</v>
      </c>
      <c r="D96" s="13">
        <v>0.96</v>
      </c>
      <c r="E96" s="13">
        <v>0</v>
      </c>
      <c r="T96" s="172"/>
      <c r="U96" s="13">
        <v>475.9</v>
      </c>
      <c r="V96" s="13">
        <v>33.51</v>
      </c>
      <c r="W96" s="13">
        <v>0.89</v>
      </c>
      <c r="X96" s="13">
        <v>0</v>
      </c>
    </row>
    <row r="97" spans="1:24" x14ac:dyDescent="0.3">
      <c r="A97" s="172"/>
      <c r="B97" s="13">
        <v>453.7</v>
      </c>
      <c r="C97" s="13">
        <v>5.53</v>
      </c>
      <c r="D97" s="13">
        <v>0.59</v>
      </c>
      <c r="E97" s="13">
        <v>0</v>
      </c>
      <c r="T97" s="172"/>
      <c r="U97" s="13">
        <v>446.2</v>
      </c>
      <c r="V97" s="13">
        <v>4.05</v>
      </c>
      <c r="W97" s="13">
        <v>0.9</v>
      </c>
      <c r="X97" s="13">
        <v>0</v>
      </c>
    </row>
    <row r="98" spans="1:24" x14ac:dyDescent="0.3">
      <c r="A98" s="172"/>
      <c r="B98" s="13">
        <v>444.5</v>
      </c>
      <c r="C98" s="13"/>
      <c r="D98" s="13">
        <v>0.35</v>
      </c>
      <c r="E98" s="13">
        <v>0</v>
      </c>
      <c r="T98" s="172"/>
      <c r="U98" s="13">
        <v>443.9</v>
      </c>
      <c r="V98" s="13">
        <v>5.77</v>
      </c>
      <c r="W98" s="13">
        <v>0.69</v>
      </c>
      <c r="X98" s="13">
        <v>0</v>
      </c>
    </row>
    <row r="99" spans="1:24" x14ac:dyDescent="0.3">
      <c r="A99" s="172"/>
      <c r="B99" s="13">
        <v>448.9</v>
      </c>
      <c r="C99" s="13">
        <v>9.85</v>
      </c>
      <c r="D99" s="13">
        <v>0.87</v>
      </c>
      <c r="E99" s="13">
        <v>0</v>
      </c>
      <c r="T99" s="172"/>
      <c r="U99" s="13">
        <v>450.4</v>
      </c>
      <c r="V99" s="13">
        <v>11.9</v>
      </c>
      <c r="W99" s="13">
        <v>1.41</v>
      </c>
      <c r="X99" s="13">
        <v>0</v>
      </c>
    </row>
    <row r="100" spans="1:24" x14ac:dyDescent="0.3">
      <c r="A100" s="172"/>
      <c r="B100" s="13">
        <v>445.9</v>
      </c>
      <c r="C100" s="13"/>
      <c r="D100" s="13">
        <v>0.87</v>
      </c>
      <c r="E100" s="13">
        <v>0</v>
      </c>
      <c r="T100" s="172"/>
      <c r="U100" s="13">
        <v>445.5</v>
      </c>
      <c r="V100" s="13">
        <v>3.82</v>
      </c>
      <c r="W100" s="13">
        <v>1.3</v>
      </c>
      <c r="X100" s="13">
        <v>0</v>
      </c>
    </row>
    <row r="101" spans="1:24" x14ac:dyDescent="0.3">
      <c r="A101" s="172"/>
      <c r="B101" s="13">
        <v>449.3</v>
      </c>
      <c r="C101" s="13"/>
      <c r="D101" s="13">
        <v>0.86</v>
      </c>
      <c r="E101" s="13">
        <v>0</v>
      </c>
      <c r="T101" s="172"/>
      <c r="U101" s="13">
        <v>444.7</v>
      </c>
      <c r="V101" s="13">
        <v>7.81</v>
      </c>
      <c r="W101" s="13">
        <v>0.77</v>
      </c>
      <c r="X101" s="13">
        <v>0</v>
      </c>
    </row>
    <row r="102" spans="1:24" x14ac:dyDescent="0.3">
      <c r="A102" s="172"/>
      <c r="B102" s="13">
        <v>447.9</v>
      </c>
      <c r="C102" s="13">
        <v>6.29</v>
      </c>
      <c r="D102" s="13">
        <v>0.96</v>
      </c>
      <c r="E102" s="13">
        <v>0</v>
      </c>
      <c r="T102" s="172"/>
      <c r="U102" s="13">
        <v>454.3</v>
      </c>
      <c r="V102" s="13">
        <v>14.18</v>
      </c>
      <c r="W102" s="13">
        <v>2.0499999999999998</v>
      </c>
      <c r="X102" s="13">
        <v>0</v>
      </c>
    </row>
    <row r="103" spans="1:24" x14ac:dyDescent="0.3">
      <c r="A103" s="172" t="s">
        <v>91</v>
      </c>
      <c r="B103" s="13">
        <v>445.4</v>
      </c>
      <c r="C103" s="13">
        <v>0.94</v>
      </c>
      <c r="D103" s="13">
        <v>0.69</v>
      </c>
      <c r="E103" s="13">
        <v>0</v>
      </c>
      <c r="T103" s="172"/>
      <c r="U103" s="13">
        <v>440.9</v>
      </c>
      <c r="V103" s="13"/>
      <c r="W103" s="13">
        <v>1.97</v>
      </c>
      <c r="X103" s="13">
        <v>0</v>
      </c>
    </row>
    <row r="104" spans="1:24" x14ac:dyDescent="0.3">
      <c r="A104" s="172"/>
      <c r="B104" s="13">
        <v>445.8</v>
      </c>
      <c r="C104" s="13">
        <v>6.25</v>
      </c>
      <c r="D104" s="13">
        <v>0.65</v>
      </c>
      <c r="E104" s="13">
        <v>0</v>
      </c>
      <c r="T104" s="172"/>
      <c r="U104" s="13">
        <v>443.5</v>
      </c>
      <c r="V104" s="13">
        <v>6.02</v>
      </c>
      <c r="W104" s="13">
        <v>1.73</v>
      </c>
      <c r="X104" s="13">
        <v>0</v>
      </c>
    </row>
    <row r="105" spans="1:24" x14ac:dyDescent="0.3">
      <c r="A105" s="172"/>
      <c r="B105" s="13">
        <v>449.6</v>
      </c>
      <c r="C105" s="13">
        <v>8.74</v>
      </c>
      <c r="D105" s="13">
        <v>0.85</v>
      </c>
      <c r="E105" s="13">
        <v>0</v>
      </c>
      <c r="T105" s="172"/>
      <c r="U105" s="13">
        <v>441.8</v>
      </c>
      <c r="V105" s="13">
        <v>6.83</v>
      </c>
      <c r="W105" s="13">
        <v>1.19</v>
      </c>
      <c r="X105" s="13">
        <v>0</v>
      </c>
    </row>
    <row r="106" spans="1:24" x14ac:dyDescent="0.3">
      <c r="A106" s="172"/>
      <c r="B106" s="13">
        <v>444.3</v>
      </c>
      <c r="C106" s="13">
        <v>5.91</v>
      </c>
      <c r="D106" s="13">
        <v>0.71</v>
      </c>
      <c r="E106" s="13">
        <v>0</v>
      </c>
      <c r="T106" s="172" t="s">
        <v>31</v>
      </c>
      <c r="U106" s="13">
        <v>450.7</v>
      </c>
      <c r="V106" s="13">
        <v>3.87</v>
      </c>
      <c r="W106" s="13">
        <v>0.14000000000000001</v>
      </c>
      <c r="X106" s="13">
        <v>0</v>
      </c>
    </row>
    <row r="107" spans="1:24" x14ac:dyDescent="0.3">
      <c r="A107" s="172"/>
      <c r="B107" s="13">
        <v>447.3</v>
      </c>
      <c r="C107" s="13">
        <v>5.27</v>
      </c>
      <c r="D107" s="13">
        <v>1.07</v>
      </c>
      <c r="E107" s="13">
        <v>0</v>
      </c>
      <c r="T107" s="172"/>
      <c r="U107" s="13">
        <v>453.1</v>
      </c>
      <c r="V107" s="13">
        <v>7.24</v>
      </c>
      <c r="W107" s="13">
        <v>0.59</v>
      </c>
      <c r="X107" s="13">
        <v>0</v>
      </c>
    </row>
    <row r="108" spans="1:24" x14ac:dyDescent="0.3">
      <c r="A108" s="172"/>
      <c r="B108" s="13">
        <v>451.5</v>
      </c>
      <c r="C108" s="13">
        <v>3.9</v>
      </c>
      <c r="D108" s="13">
        <v>0.81</v>
      </c>
      <c r="E108" s="13">
        <v>0</v>
      </c>
      <c r="T108" s="172"/>
      <c r="U108" s="13">
        <v>453.3</v>
      </c>
      <c r="V108" s="13">
        <v>0.71</v>
      </c>
      <c r="W108" s="13">
        <v>0.62</v>
      </c>
      <c r="X108" s="13">
        <v>0</v>
      </c>
    </row>
    <row r="109" spans="1:24" x14ac:dyDescent="0.3">
      <c r="A109" s="172"/>
      <c r="B109" s="13">
        <v>453.5</v>
      </c>
      <c r="C109" s="13">
        <v>5.17</v>
      </c>
      <c r="D109" s="13">
        <v>0.89</v>
      </c>
      <c r="E109" s="13">
        <v>0</v>
      </c>
      <c r="T109" s="172"/>
      <c r="U109" s="13">
        <v>458</v>
      </c>
      <c r="V109" s="13">
        <v>7.26</v>
      </c>
      <c r="W109" s="13">
        <v>0.88</v>
      </c>
      <c r="X109" s="13">
        <v>0</v>
      </c>
    </row>
    <row r="110" spans="1:24" x14ac:dyDescent="0.3">
      <c r="A110" s="172"/>
      <c r="B110" s="13">
        <v>452.2</v>
      </c>
      <c r="C110" s="13">
        <v>5.98</v>
      </c>
      <c r="D110" s="13">
        <v>0.65</v>
      </c>
      <c r="E110" s="13">
        <v>0</v>
      </c>
      <c r="T110" s="172" t="s">
        <v>90</v>
      </c>
      <c r="U110" s="13">
        <v>448.9</v>
      </c>
      <c r="V110" s="13">
        <v>0.8</v>
      </c>
      <c r="W110" s="13">
        <v>0.77</v>
      </c>
      <c r="X110" s="13">
        <v>0</v>
      </c>
    </row>
    <row r="111" spans="1:24" x14ac:dyDescent="0.3">
      <c r="T111" s="172"/>
      <c r="U111" s="13">
        <v>458.4</v>
      </c>
      <c r="V111" s="13">
        <v>13.28</v>
      </c>
      <c r="W111" s="13">
        <v>0.62</v>
      </c>
      <c r="X111" s="13">
        <v>0</v>
      </c>
    </row>
    <row r="112" spans="1:24" x14ac:dyDescent="0.3">
      <c r="T112" s="172"/>
      <c r="U112" s="13">
        <v>452.1</v>
      </c>
      <c r="V112" s="13">
        <v>7.11</v>
      </c>
      <c r="W112" s="13">
        <v>0.75</v>
      </c>
      <c r="X112" s="13">
        <v>0</v>
      </c>
    </row>
    <row r="113" spans="20:24" x14ac:dyDescent="0.3">
      <c r="T113" s="172"/>
      <c r="U113" s="13">
        <v>450.2</v>
      </c>
      <c r="V113" s="13">
        <v>3.59</v>
      </c>
      <c r="W113" s="13">
        <v>0.82</v>
      </c>
      <c r="X113" s="13">
        <v>0</v>
      </c>
    </row>
  </sheetData>
  <mergeCells count="48">
    <mergeCell ref="AN2:AP2"/>
    <mergeCell ref="AA1:AD1"/>
    <mergeCell ref="AA12:AD12"/>
    <mergeCell ref="AA23:AD23"/>
    <mergeCell ref="AH1:AK1"/>
    <mergeCell ref="AG2:AG3"/>
    <mergeCell ref="AH2:AJ2"/>
    <mergeCell ref="AK2:AM2"/>
    <mergeCell ref="G2:I2"/>
    <mergeCell ref="G13:I13"/>
    <mergeCell ref="G23:I23"/>
    <mergeCell ref="A81:A87"/>
    <mergeCell ref="T54:T67"/>
    <mergeCell ref="T68:T81"/>
    <mergeCell ref="T82:T94"/>
    <mergeCell ref="A3:A13"/>
    <mergeCell ref="A14:A23"/>
    <mergeCell ref="A24:A33"/>
    <mergeCell ref="A34:A42"/>
    <mergeCell ref="A43:A52"/>
    <mergeCell ref="A103:A110"/>
    <mergeCell ref="K1:O1"/>
    <mergeCell ref="K3:K13"/>
    <mergeCell ref="K14:K21"/>
    <mergeCell ref="K22:K33"/>
    <mergeCell ref="K34:K42"/>
    <mergeCell ref="K43:K52"/>
    <mergeCell ref="K53:K61"/>
    <mergeCell ref="K62:K70"/>
    <mergeCell ref="K71:K80"/>
    <mergeCell ref="A53:A61"/>
    <mergeCell ref="A62:A71"/>
    <mergeCell ref="A72:A80"/>
    <mergeCell ref="A88:A94"/>
    <mergeCell ref="A95:A102"/>
    <mergeCell ref="A1:E1"/>
    <mergeCell ref="T1:X1"/>
    <mergeCell ref="T3:T14"/>
    <mergeCell ref="T15:T26"/>
    <mergeCell ref="T27:T39"/>
    <mergeCell ref="T40:T53"/>
    <mergeCell ref="T95:T105"/>
    <mergeCell ref="T106:T109"/>
    <mergeCell ref="T110:T113"/>
    <mergeCell ref="K81:K83"/>
    <mergeCell ref="K84:K86"/>
    <mergeCell ref="K87:K89"/>
    <mergeCell ref="K90:K92"/>
  </mergeCells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7"/>
  <sheetViews>
    <sheetView tabSelected="1" workbookViewId="0">
      <selection activeCell="AC1" sqref="AC1"/>
    </sheetView>
  </sheetViews>
  <sheetFormatPr defaultRowHeight="14.4" x14ac:dyDescent="0.3"/>
  <cols>
    <col min="1" max="1" width="16.109375" bestFit="1" customWidth="1"/>
    <col min="2" max="2" width="19" bestFit="1" customWidth="1"/>
    <col min="3" max="3" width="20.6640625" bestFit="1" customWidth="1"/>
    <col min="4" max="4" width="21.109375" bestFit="1" customWidth="1"/>
    <col min="5" max="5" width="20.33203125" bestFit="1" customWidth="1"/>
    <col min="6" max="6" width="22.5546875" bestFit="1" customWidth="1"/>
    <col min="7" max="7" width="21.6640625" bestFit="1" customWidth="1"/>
    <col min="8" max="8" width="20.5546875" bestFit="1" customWidth="1"/>
    <col min="9" max="9" width="19.6640625" bestFit="1" customWidth="1"/>
    <col min="10" max="10" width="13.109375" bestFit="1" customWidth="1"/>
    <col min="11" max="11" width="14" bestFit="1" customWidth="1"/>
    <col min="12" max="12" width="12.5546875" bestFit="1" customWidth="1"/>
    <col min="13" max="13" width="6.88671875" bestFit="1" customWidth="1"/>
    <col min="20" max="20" width="10.44140625" bestFit="1" customWidth="1"/>
    <col min="22" max="22" width="10.44140625" bestFit="1" customWidth="1"/>
    <col min="23" max="23" width="11.6640625" bestFit="1" customWidth="1"/>
    <col min="24" max="24" width="9.88671875" bestFit="1" customWidth="1"/>
    <col min="25" max="25" width="11.5546875" bestFit="1" customWidth="1"/>
    <col min="26" max="26" width="12.88671875" bestFit="1" customWidth="1"/>
    <col min="27" max="27" width="11" bestFit="1" customWidth="1"/>
    <col min="29" max="29" width="10.6640625" bestFit="1" customWidth="1"/>
  </cols>
  <sheetData>
    <row r="1" spans="1:30" x14ac:dyDescent="0.3">
      <c r="A1" s="122" t="s">
        <v>44</v>
      </c>
      <c r="B1" s="122" t="s">
        <v>113</v>
      </c>
      <c r="C1" s="122" t="s">
        <v>36</v>
      </c>
      <c r="D1" s="122" t="s">
        <v>99</v>
      </c>
      <c r="E1" s="122" t="s">
        <v>56</v>
      </c>
      <c r="F1" s="122" t="s">
        <v>101</v>
      </c>
      <c r="G1" s="122" t="s">
        <v>57</v>
      </c>
      <c r="H1" s="122" t="s">
        <v>104</v>
      </c>
      <c r="I1" s="122" t="s">
        <v>58</v>
      </c>
      <c r="J1" s="123" t="s">
        <v>107</v>
      </c>
      <c r="K1" s="122" t="s">
        <v>114</v>
      </c>
      <c r="L1" s="122" t="s">
        <v>122</v>
      </c>
      <c r="M1" s="122" t="s">
        <v>111</v>
      </c>
      <c r="N1" s="122" t="s">
        <v>43</v>
      </c>
      <c r="O1" s="122" t="s">
        <v>25</v>
      </c>
      <c r="P1" s="122" t="s">
        <v>115</v>
      </c>
      <c r="Q1" s="122" t="s">
        <v>116</v>
      </c>
      <c r="R1" s="122" t="s">
        <v>117</v>
      </c>
      <c r="S1" s="122" t="s">
        <v>118</v>
      </c>
      <c r="T1" s="122" t="s">
        <v>220</v>
      </c>
      <c r="U1" s="122" t="s">
        <v>123</v>
      </c>
      <c r="V1" s="122" t="s">
        <v>119</v>
      </c>
      <c r="W1" s="122" t="s">
        <v>221</v>
      </c>
      <c r="X1" s="122" t="s">
        <v>124</v>
      </c>
      <c r="Y1" s="122" t="s">
        <v>120</v>
      </c>
      <c r="Z1" s="122" t="s">
        <v>222</v>
      </c>
      <c r="AA1" s="122" t="s">
        <v>125</v>
      </c>
      <c r="AB1" s="122" t="s">
        <v>121</v>
      </c>
      <c r="AC1" s="122" t="s">
        <v>223</v>
      </c>
      <c r="AD1" s="122" t="s">
        <v>126</v>
      </c>
    </row>
    <row r="2" spans="1:30" x14ac:dyDescent="0.3">
      <c r="A2" s="124" t="s">
        <v>47</v>
      </c>
      <c r="B2" s="121">
        <v>95.333333333333329</v>
      </c>
      <c r="C2" s="121">
        <v>11.266666666666666</v>
      </c>
      <c r="D2" s="121">
        <v>13.366666666666667</v>
      </c>
      <c r="E2" s="121">
        <v>3.5399999999999996</v>
      </c>
      <c r="F2" s="125">
        <v>171.07000000000002</v>
      </c>
      <c r="G2" s="125">
        <v>40.486666666666672</v>
      </c>
      <c r="H2" s="125">
        <v>30.256666666666664</v>
      </c>
      <c r="I2" s="125">
        <v>7.993333333333335</v>
      </c>
      <c r="J2" s="125">
        <f t="shared" ref="J2:J7" si="0">(H2-I2)/I2</f>
        <v>2.7852376980817337</v>
      </c>
      <c r="K2" s="125">
        <v>3.2253416762720235</v>
      </c>
      <c r="L2" s="125">
        <v>2.7852376980817337</v>
      </c>
      <c r="M2" s="121">
        <v>19.407792207792205</v>
      </c>
      <c r="N2" s="121">
        <v>2.9681401470454751E-2</v>
      </c>
      <c r="O2" s="121">
        <v>18.933333333333334</v>
      </c>
      <c r="P2" s="121">
        <v>8.5666666666666682</v>
      </c>
      <c r="Q2" s="121">
        <v>1.7508333333333332</v>
      </c>
      <c r="R2" s="125">
        <v>4.8929081389814382</v>
      </c>
      <c r="S2" s="121">
        <v>14.033333333333333</v>
      </c>
      <c r="T2" s="121">
        <v>30.233333333333331</v>
      </c>
      <c r="U2" s="121">
        <v>16.2</v>
      </c>
      <c r="V2" s="121">
        <v>6.7466666666666661</v>
      </c>
      <c r="W2" s="121">
        <v>0.21999999999999997</v>
      </c>
      <c r="X2" s="121">
        <v>0.15666666666666665</v>
      </c>
      <c r="Y2" s="121">
        <v>0.80333333333333334</v>
      </c>
      <c r="Z2" s="121">
        <v>0.94000000000000006</v>
      </c>
      <c r="AA2" s="121">
        <v>3.206666666666667</v>
      </c>
      <c r="AB2" s="121">
        <v>0.24633333333333338</v>
      </c>
      <c r="AC2" s="121">
        <v>1.0980000000000001</v>
      </c>
      <c r="AD2" s="121">
        <v>0.93900000000000006</v>
      </c>
    </row>
    <row r="3" spans="1:30" x14ac:dyDescent="0.3">
      <c r="A3" s="124" t="s">
        <v>48</v>
      </c>
      <c r="B3" s="121">
        <v>92.333333333333329</v>
      </c>
      <c r="C3" s="126">
        <v>11.1</v>
      </c>
      <c r="D3" s="121">
        <v>13.670000000000002</v>
      </c>
      <c r="E3" s="121">
        <v>2.3466666666666662</v>
      </c>
      <c r="F3" s="125">
        <v>169.06333333333336</v>
      </c>
      <c r="G3" s="125">
        <v>39.306666666666672</v>
      </c>
      <c r="H3" s="125">
        <v>50.076666666666661</v>
      </c>
      <c r="I3" s="125">
        <v>9.1366666666666685</v>
      </c>
      <c r="J3" s="125">
        <f t="shared" si="0"/>
        <v>4.4808464064210121</v>
      </c>
      <c r="K3" s="125">
        <v>3.3011363636363638</v>
      </c>
      <c r="L3" s="125">
        <v>4.4808464064210121</v>
      </c>
      <c r="M3" s="121">
        <v>30.935202831472907</v>
      </c>
      <c r="N3" s="121">
        <v>2.9809311427661217E-2</v>
      </c>
      <c r="O3" s="121">
        <v>19.666666666666668</v>
      </c>
      <c r="P3" s="121">
        <v>8.3509090909090897</v>
      </c>
      <c r="Q3" s="121">
        <v>0.95076923076923103</v>
      </c>
      <c r="R3" s="125">
        <v>8.783318623124444</v>
      </c>
      <c r="S3" s="121">
        <v>15</v>
      </c>
      <c r="T3" s="121">
        <v>36.533333333333331</v>
      </c>
      <c r="U3" s="121">
        <v>22.766666666666666</v>
      </c>
      <c r="V3" s="121">
        <v>9.2433333333333341</v>
      </c>
      <c r="W3" s="121">
        <v>0.46666666666666662</v>
      </c>
      <c r="X3" s="121">
        <v>0.19000000000000003</v>
      </c>
      <c r="Y3" s="121">
        <v>0.94000000000000006</v>
      </c>
      <c r="Z3" s="121">
        <v>1.41</v>
      </c>
      <c r="AA3" s="121">
        <v>3.1266666666666665</v>
      </c>
      <c r="AB3" s="121">
        <v>0.29733333333333334</v>
      </c>
      <c r="AC3" s="121">
        <v>1.4166666666666667</v>
      </c>
      <c r="AD3" s="121">
        <v>1.1696666666666664</v>
      </c>
    </row>
    <row r="4" spans="1:30" x14ac:dyDescent="0.3">
      <c r="A4" s="124" t="s">
        <v>49</v>
      </c>
      <c r="B4" s="121">
        <v>82</v>
      </c>
      <c r="C4" s="121">
        <v>9.2666666666666675</v>
      </c>
      <c r="D4" s="121">
        <v>9.1533333333333342</v>
      </c>
      <c r="E4" s="121">
        <v>2.06</v>
      </c>
      <c r="F4" s="125">
        <v>107.24333333333334</v>
      </c>
      <c r="G4" s="125">
        <v>25.766666666666666</v>
      </c>
      <c r="H4" s="125">
        <v>32.57</v>
      </c>
      <c r="I4" s="125">
        <v>4.7399999999999993</v>
      </c>
      <c r="J4" s="125">
        <f t="shared" si="0"/>
        <v>5.8713080168776379</v>
      </c>
      <c r="K4" s="125">
        <v>3.1620957309184998</v>
      </c>
      <c r="L4" s="125">
        <v>5.8713080168776379</v>
      </c>
      <c r="M4" s="121">
        <v>51.308664259927795</v>
      </c>
      <c r="N4" s="121">
        <v>3.0116871441414447E-2</v>
      </c>
      <c r="O4" s="121">
        <v>16.266666666666669</v>
      </c>
      <c r="P4" s="121">
        <v>6.1924999999999999</v>
      </c>
      <c r="Q4" s="121">
        <v>0.82571428571428562</v>
      </c>
      <c r="R4" s="125">
        <v>7.4995674740484439</v>
      </c>
      <c r="S4" s="121">
        <v>8.5366666666666671</v>
      </c>
      <c r="T4" s="121">
        <v>36.199999999999996</v>
      </c>
      <c r="U4" s="121">
        <v>14</v>
      </c>
      <c r="V4" s="121">
        <v>20.966666666666669</v>
      </c>
      <c r="W4" s="121">
        <v>2.08</v>
      </c>
      <c r="X4" s="121">
        <v>0.36999999999999994</v>
      </c>
      <c r="Y4" s="121">
        <v>1.0966666666666667</v>
      </c>
      <c r="Z4" s="121">
        <v>1.5666666666666667</v>
      </c>
      <c r="AA4" s="121">
        <v>3.9599999999999995</v>
      </c>
      <c r="AB4" s="121">
        <v>0.64433333333333331</v>
      </c>
      <c r="AC4" s="121">
        <v>2.1033333333333331</v>
      </c>
      <c r="AD4" s="121">
        <v>4.833333333333333</v>
      </c>
    </row>
    <row r="5" spans="1:30" x14ac:dyDescent="0.3">
      <c r="A5" s="124" t="s">
        <v>50</v>
      </c>
      <c r="B5" s="121">
        <v>62.666666666666664</v>
      </c>
      <c r="C5" s="121">
        <v>6.7666666666666666</v>
      </c>
      <c r="D5" s="121">
        <v>4.9333333333333336</v>
      </c>
      <c r="E5" s="121">
        <v>1.03</v>
      </c>
      <c r="F5" s="125">
        <v>46.66</v>
      </c>
      <c r="G5" s="125">
        <v>11.523333333333333</v>
      </c>
      <c r="H5" s="125">
        <v>16.193333333333332</v>
      </c>
      <c r="I5" s="125">
        <v>2.0466666666666669</v>
      </c>
      <c r="J5" s="125">
        <f t="shared" si="0"/>
        <v>6.9120521172638423</v>
      </c>
      <c r="K5" s="125">
        <v>3.0491755857680065</v>
      </c>
      <c r="L5" s="125">
        <v>6.9120521172638423</v>
      </c>
      <c r="M5" s="121">
        <v>75.09342191114537</v>
      </c>
      <c r="N5" s="121">
        <v>2.6774748219110779E-2</v>
      </c>
      <c r="O5" s="121">
        <v>14.366666666666667</v>
      </c>
      <c r="P5" s="121">
        <v>5.140769230769231</v>
      </c>
      <c r="Q5" s="121">
        <v>0.61580000000000001</v>
      </c>
      <c r="R5" s="125">
        <v>8.3481150223599077</v>
      </c>
      <c r="S5" s="121">
        <v>5.4333333333333327</v>
      </c>
      <c r="T5" s="121">
        <v>32.733333333333327</v>
      </c>
      <c r="U5" s="121">
        <v>13.766666666666667</v>
      </c>
      <c r="V5" s="121">
        <v>28.166666666666668</v>
      </c>
      <c r="W5" s="121">
        <v>9.7933333333333348</v>
      </c>
      <c r="X5" s="121">
        <v>1.1566666666666667</v>
      </c>
      <c r="Y5" s="121">
        <v>1.41</v>
      </c>
      <c r="Z5" s="121">
        <v>1.8800000000000001</v>
      </c>
      <c r="AA5" s="121">
        <v>4.1000000000000005</v>
      </c>
      <c r="AB5" s="121">
        <v>1.1219999999999999</v>
      </c>
      <c r="AC5" s="121">
        <v>9.8133333333333344</v>
      </c>
      <c r="AD5" s="121">
        <v>15.566666666666668</v>
      </c>
    </row>
    <row r="6" spans="1:30" x14ac:dyDescent="0.3">
      <c r="A6" s="124" t="s">
        <v>97</v>
      </c>
      <c r="B6" s="121">
        <v>50.46</v>
      </c>
      <c r="C6" s="121">
        <v>5.6</v>
      </c>
      <c r="D6" s="121">
        <v>1.63</v>
      </c>
      <c r="E6" s="121">
        <v>0.41000000000000014</v>
      </c>
      <c r="F6" s="125">
        <v>13.42</v>
      </c>
      <c r="G6" s="125">
        <v>3.8200000000000003</v>
      </c>
      <c r="H6" s="125">
        <v>3.8</v>
      </c>
      <c r="I6" s="125">
        <v>1.0199999999999996</v>
      </c>
      <c r="J6" s="125">
        <f t="shared" si="0"/>
        <v>2.7254901960784328</v>
      </c>
      <c r="K6" s="125">
        <v>2.5130890052356016</v>
      </c>
      <c r="L6" s="125">
        <v>2.7254901960784328</v>
      </c>
      <c r="M6" s="121">
        <v>87.367944461213398</v>
      </c>
      <c r="N6" s="121">
        <v>2.4959926723150904E-2</v>
      </c>
      <c r="O6" s="121">
        <v>12.6</v>
      </c>
      <c r="P6" s="121">
        <v>4.7699999999999996</v>
      </c>
      <c r="Q6" s="121">
        <v>0.5575</v>
      </c>
      <c r="R6" s="125">
        <v>8.5560538116591918</v>
      </c>
      <c r="S6" s="121">
        <v>5.03</v>
      </c>
      <c r="T6" s="121">
        <v>32</v>
      </c>
      <c r="U6" s="121">
        <v>12.6</v>
      </c>
      <c r="V6" s="121">
        <v>33.799999999999997</v>
      </c>
      <c r="W6" s="121">
        <v>19</v>
      </c>
      <c r="X6" s="121">
        <v>4.0600000000000005</v>
      </c>
      <c r="Y6" s="121">
        <v>1.8800000000000001</v>
      </c>
      <c r="Z6" s="121">
        <v>1.8800000000000001</v>
      </c>
      <c r="AA6" s="121">
        <v>4.79</v>
      </c>
      <c r="AB6" s="121">
        <v>1.97</v>
      </c>
      <c r="AC6" s="121">
        <v>15.1</v>
      </c>
      <c r="AD6" s="121">
        <v>22.5</v>
      </c>
    </row>
    <row r="7" spans="1:30" ht="15" thickBot="1" x14ac:dyDescent="0.35">
      <c r="A7" s="127" t="s">
        <v>98</v>
      </c>
      <c r="B7" s="121">
        <v>43</v>
      </c>
      <c r="C7" s="121">
        <v>5.0999999999999996</v>
      </c>
      <c r="D7" s="121">
        <v>1.78</v>
      </c>
      <c r="E7" s="121">
        <v>0.44999999999999929</v>
      </c>
      <c r="F7" s="128">
        <v>10.67</v>
      </c>
      <c r="G7" s="125">
        <v>3.0399999999999991</v>
      </c>
      <c r="H7" s="125">
        <v>6.48</v>
      </c>
      <c r="I7" s="125">
        <v>1.7400000000000002</v>
      </c>
      <c r="J7" s="125">
        <f t="shared" si="0"/>
        <v>2.7241379310344827</v>
      </c>
      <c r="K7" s="125">
        <v>2.5098684210526327</v>
      </c>
      <c r="L7" s="125">
        <v>2.7241379310344827</v>
      </c>
      <c r="M7" s="121">
        <v>89.049000000000007</v>
      </c>
      <c r="N7" s="121">
        <v>2.3684935279537318E-2</v>
      </c>
      <c r="O7" s="121">
        <v>11.06</v>
      </c>
      <c r="P7" s="121">
        <v>4.1208780000000003</v>
      </c>
      <c r="Q7" s="121">
        <v>0.30586999999999998</v>
      </c>
      <c r="R7" s="125">
        <v>13.472645241442445</v>
      </c>
      <c r="S7" s="121">
        <v>4.24</v>
      </c>
      <c r="T7" s="121">
        <v>30.4</v>
      </c>
      <c r="U7" s="121">
        <v>11.9</v>
      </c>
      <c r="V7" s="121">
        <v>44.6</v>
      </c>
      <c r="W7" s="121">
        <v>34.799999999999997</v>
      </c>
      <c r="X7" s="121">
        <v>5.1899999999999995</v>
      </c>
      <c r="Y7" s="121">
        <v>2.34</v>
      </c>
      <c r="Z7" s="121">
        <v>2.34</v>
      </c>
      <c r="AA7" s="121">
        <v>2.81</v>
      </c>
      <c r="AB7" s="121">
        <v>2.96</v>
      </c>
      <c r="AC7" s="121">
        <v>24.5</v>
      </c>
      <c r="AD7" s="121">
        <v>23.1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Plant height</vt:lpstr>
      <vt:lpstr>CCI</vt:lpstr>
      <vt:lpstr>Stem diameter</vt:lpstr>
      <vt:lpstr>Scan</vt:lpstr>
      <vt:lpstr>Plant weight</vt:lpstr>
      <vt:lpstr>Ions analysis</vt:lpstr>
      <vt:lpstr>Membrane demage (MDR)</vt:lpstr>
      <vt:lpstr>Photosynthesis</vt:lpstr>
      <vt:lpstr>Coorelation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Abhishek Singh</cp:lastModifiedBy>
  <dcterms:created xsi:type="dcterms:W3CDTF">2023-06-30T09:09:17Z</dcterms:created>
  <dcterms:modified xsi:type="dcterms:W3CDTF">2025-03-18T10:52:32Z</dcterms:modified>
</cp:coreProperties>
</file>